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bookViews>
    <workbookView xWindow="0" yWindow="-15" windowWidth="15300" windowHeight="5100"/>
  </bookViews>
  <sheets>
    <sheet name="HWA" sheetId="1" r:id="rId1"/>
    <sheet name="AT" sheetId="2" r:id="rId2"/>
    <sheet name="HASL" sheetId="3" r:id="rId3"/>
  </sheets>
  <definedNames>
    <definedName name="_xlnm.Print_Area" localSheetId="0">HWA!$A$1:$K$158</definedName>
    <definedName name="_xlnm.Print_Titles" localSheetId="1">AT!$A:$D</definedName>
    <definedName name="Q_potw">HASL!$C$7</definedName>
  </definedNames>
  <calcPr calcId="125725"/>
</workbook>
</file>

<file path=xl/calcChain.xml><?xml version="1.0" encoding="utf-8"?>
<calcChain xmlns="http://schemas.openxmlformats.org/spreadsheetml/2006/main">
  <c r="I55" i="1"/>
  <c r="E26"/>
  <c r="I19" s="1"/>
  <c r="E25"/>
  <c r="I18" s="1"/>
  <c r="E24"/>
  <c r="I17" s="1"/>
  <c r="H17"/>
  <c r="R21" i="2"/>
  <c r="R20"/>
  <c r="R19"/>
  <c r="R18"/>
  <c r="R17"/>
  <c r="R16"/>
  <c r="R15"/>
  <c r="R14"/>
  <c r="B7"/>
  <c r="B6"/>
  <c r="BF12"/>
  <c r="BF13"/>
  <c r="BF14"/>
  <c r="BF15"/>
  <c r="BF16"/>
  <c r="BF17"/>
  <c r="BF18"/>
  <c r="BF19"/>
  <c r="BF20"/>
  <c r="BF21"/>
  <c r="BD12"/>
  <c r="BD13"/>
  <c r="BD14"/>
  <c r="BD15"/>
  <c r="BD16"/>
  <c r="BD17"/>
  <c r="BD18"/>
  <c r="BD19"/>
  <c r="BD20"/>
  <c r="BD21"/>
  <c r="BD22" s="1"/>
  <c r="BD27" s="1"/>
  <c r="BB12"/>
  <c r="BB13"/>
  <c r="BB14"/>
  <c r="BB15"/>
  <c r="BB16"/>
  <c r="BB17"/>
  <c r="BB18"/>
  <c r="BB19"/>
  <c r="BB20"/>
  <c r="BB21"/>
  <c r="AZ12"/>
  <c r="AZ13"/>
  <c r="AZ14"/>
  <c r="AZ15"/>
  <c r="AZ16"/>
  <c r="AZ17"/>
  <c r="AZ18"/>
  <c r="AZ19"/>
  <c r="AZ20"/>
  <c r="AZ21"/>
  <c r="AZ22"/>
  <c r="AX12"/>
  <c r="AX13"/>
  <c r="AX14"/>
  <c r="AX15"/>
  <c r="AX16"/>
  <c r="AX17"/>
  <c r="AX18"/>
  <c r="AX19"/>
  <c r="AX20"/>
  <c r="AX21"/>
  <c r="AV12"/>
  <c r="AV13"/>
  <c r="AV14"/>
  <c r="AV15"/>
  <c r="AV16"/>
  <c r="AV17"/>
  <c r="AV18"/>
  <c r="AV19"/>
  <c r="AV20"/>
  <c r="AV21"/>
  <c r="AV22" s="1"/>
  <c r="AV27" s="1"/>
  <c r="AT12"/>
  <c r="AT13"/>
  <c r="AT14"/>
  <c r="AT15"/>
  <c r="AT16"/>
  <c r="AT17"/>
  <c r="AT18"/>
  <c r="AT19"/>
  <c r="AT20"/>
  <c r="AT21"/>
  <c r="AR12"/>
  <c r="AR13"/>
  <c r="AR14"/>
  <c r="AR15"/>
  <c r="AR16"/>
  <c r="AR17"/>
  <c r="AR18"/>
  <c r="AR19"/>
  <c r="AR20"/>
  <c r="AR21"/>
  <c r="AR22"/>
  <c r="AP12"/>
  <c r="AP13"/>
  <c r="AP14"/>
  <c r="AP15"/>
  <c r="AP16"/>
  <c r="AP17"/>
  <c r="AP18"/>
  <c r="AP19"/>
  <c r="AP20"/>
  <c r="AP21"/>
  <c r="AN12"/>
  <c r="AN13"/>
  <c r="AN14"/>
  <c r="AN15"/>
  <c r="AN16"/>
  <c r="AN17"/>
  <c r="AN18"/>
  <c r="AN19"/>
  <c r="AN20"/>
  <c r="AN21"/>
  <c r="AN22" s="1"/>
  <c r="AN27" s="1"/>
  <c r="AL12"/>
  <c r="AL13"/>
  <c r="AL14"/>
  <c r="AL15"/>
  <c r="AL16"/>
  <c r="AL17"/>
  <c r="AL18"/>
  <c r="AL19"/>
  <c r="AL20"/>
  <c r="AL21"/>
  <c r="AJ12"/>
  <c r="AJ13"/>
  <c r="AJ14"/>
  <c r="AJ15"/>
  <c r="AJ16"/>
  <c r="AJ17"/>
  <c r="AJ18"/>
  <c r="AJ19"/>
  <c r="AJ20"/>
  <c r="AJ21"/>
  <c r="AJ22"/>
  <c r="AH12"/>
  <c r="AH13"/>
  <c r="AH14"/>
  <c r="AH15"/>
  <c r="AH16"/>
  <c r="AH17"/>
  <c r="AH18"/>
  <c r="AH19"/>
  <c r="AH20"/>
  <c r="AH21"/>
  <c r="AH22"/>
  <c r="AF12"/>
  <c r="AF13"/>
  <c r="AF14"/>
  <c r="AF15"/>
  <c r="AF16"/>
  <c r="AF17"/>
  <c r="AF18"/>
  <c r="AF19"/>
  <c r="AF20"/>
  <c r="AF21"/>
  <c r="AF22" s="1"/>
  <c r="AF27" s="1"/>
  <c r="AD12"/>
  <c r="AD13"/>
  <c r="AD14"/>
  <c r="AD15"/>
  <c r="AD16"/>
  <c r="AD17"/>
  <c r="AD18"/>
  <c r="AD19"/>
  <c r="AD20"/>
  <c r="AD21"/>
  <c r="AD22"/>
  <c r="AB12"/>
  <c r="AB13"/>
  <c r="AB14"/>
  <c r="AB15"/>
  <c r="AB16"/>
  <c r="AB17"/>
  <c r="AB18"/>
  <c r="AB19"/>
  <c r="AB20"/>
  <c r="AB21"/>
  <c r="AB22" s="1"/>
  <c r="AB27" s="1"/>
  <c r="Z12"/>
  <c r="Z13"/>
  <c r="Z14"/>
  <c r="Z15"/>
  <c r="Z16"/>
  <c r="Z17"/>
  <c r="Z18"/>
  <c r="Z19"/>
  <c r="Z20"/>
  <c r="Z21"/>
  <c r="Z22"/>
  <c r="X12"/>
  <c r="X13"/>
  <c r="X14"/>
  <c r="X15"/>
  <c r="X16"/>
  <c r="X17"/>
  <c r="X18"/>
  <c r="X19"/>
  <c r="X20"/>
  <c r="X21"/>
  <c r="X22" s="1"/>
  <c r="V12"/>
  <c r="V13"/>
  <c r="V14"/>
  <c r="V15"/>
  <c r="V16"/>
  <c r="V17"/>
  <c r="V18"/>
  <c r="V19"/>
  <c r="V20"/>
  <c r="V21"/>
  <c r="V22" s="1"/>
  <c r="V27" s="1"/>
  <c r="T12"/>
  <c r="T13"/>
  <c r="T14"/>
  <c r="T15"/>
  <c r="T16"/>
  <c r="T17"/>
  <c r="T18"/>
  <c r="T19"/>
  <c r="T20"/>
  <c r="T21"/>
  <c r="T22"/>
  <c r="R12"/>
  <c r="R13"/>
  <c r="R22" s="1"/>
  <c r="P12"/>
  <c r="P13"/>
  <c r="P14"/>
  <c r="P15"/>
  <c r="P16"/>
  <c r="P17"/>
  <c r="P18"/>
  <c r="P19"/>
  <c r="P22" s="1"/>
  <c r="P27" s="1"/>
  <c r="P20"/>
  <c r="P21"/>
  <c r="N12"/>
  <c r="N13"/>
  <c r="N14"/>
  <c r="N15"/>
  <c r="N16"/>
  <c r="N17"/>
  <c r="N18"/>
  <c r="N19"/>
  <c r="N20"/>
  <c r="N21"/>
  <c r="N22"/>
  <c r="L12"/>
  <c r="L13"/>
  <c r="L14"/>
  <c r="L15"/>
  <c r="L16"/>
  <c r="L17"/>
  <c r="L18"/>
  <c r="L19"/>
  <c r="L20"/>
  <c r="L21"/>
  <c r="L22" s="1"/>
  <c r="J12"/>
  <c r="I24"/>
  <c r="I25"/>
  <c r="I22"/>
  <c r="BE8"/>
  <c r="BC8"/>
  <c r="BA8"/>
  <c r="AY8"/>
  <c r="AZ27"/>
  <c r="AW8"/>
  <c r="AU8"/>
  <c r="AS8"/>
  <c r="AQ8"/>
  <c r="AO8"/>
  <c r="AM8"/>
  <c r="AK8"/>
  <c r="AI8"/>
  <c r="AG8"/>
  <c r="AE8"/>
  <c r="AC8"/>
  <c r="AA8"/>
  <c r="Y8"/>
  <c r="W8"/>
  <c r="U8"/>
  <c r="S8"/>
  <c r="Q8"/>
  <c r="O8"/>
  <c r="M8"/>
  <c r="K8"/>
  <c r="I32"/>
  <c r="AJ27"/>
  <c r="AH27"/>
  <c r="AD27"/>
  <c r="Z27"/>
  <c r="T27"/>
  <c r="I26"/>
  <c r="I27"/>
  <c r="I28"/>
  <c r="I30"/>
  <c r="I29"/>
  <c r="AR27"/>
  <c r="N27"/>
  <c r="J13"/>
  <c r="J14"/>
  <c r="J15"/>
  <c r="J16"/>
  <c r="J17"/>
  <c r="J18"/>
  <c r="J19"/>
  <c r="J20"/>
  <c r="J21"/>
  <c r="J22"/>
  <c r="G158" i="1"/>
  <c r="BF25" i="2" s="1"/>
  <c r="G157" i="1"/>
  <c r="BD25" i="2" s="1"/>
  <c r="G156" i="1"/>
  <c r="BB25" i="2" s="1"/>
  <c r="G155" i="1"/>
  <c r="AZ25" i="2" s="1"/>
  <c r="G154" i="1"/>
  <c r="AX25" i="2" s="1"/>
  <c r="G153" i="1"/>
  <c r="AV25" i="2" s="1"/>
  <c r="G152" i="1"/>
  <c r="AT25" i="2" s="1"/>
  <c r="G151" i="1"/>
  <c r="AR25" i="2" s="1"/>
  <c r="G150" i="1"/>
  <c r="AP25" i="2" s="1"/>
  <c r="G136" i="1"/>
  <c r="N25" i="2" s="1"/>
  <c r="G137" i="1"/>
  <c r="P25" i="2" s="1"/>
  <c r="G138" i="1"/>
  <c r="R25" i="2" s="1"/>
  <c r="G139" i="1"/>
  <c r="T25" i="2" s="1"/>
  <c r="G140" i="1"/>
  <c r="V25" i="2" s="1"/>
  <c r="G141" i="1"/>
  <c r="X25" i="2" s="1"/>
  <c r="G142" i="1"/>
  <c r="Z25" i="2" s="1"/>
  <c r="G143" i="1"/>
  <c r="AB25" i="2" s="1"/>
  <c r="G144" i="1"/>
  <c r="AD25" i="2" s="1"/>
  <c r="G145" i="1"/>
  <c r="AF25" i="2" s="1"/>
  <c r="G146" i="1"/>
  <c r="AH25" i="2" s="1"/>
  <c r="G147" i="1"/>
  <c r="AJ25" i="2" s="1"/>
  <c r="G148" i="1"/>
  <c r="AL25" i="2" s="1"/>
  <c r="G149" i="1"/>
  <c r="AN25" i="2" s="1"/>
  <c r="G135" i="1"/>
  <c r="L25" i="2" s="1"/>
  <c r="H24" i="1"/>
  <c r="J24" s="1"/>
  <c r="I53"/>
  <c r="F53"/>
  <c r="J53" s="1"/>
  <c r="F107"/>
  <c r="H25"/>
  <c r="J25" s="1"/>
  <c r="I54"/>
  <c r="F54"/>
  <c r="J54" s="1"/>
  <c r="F108"/>
  <c r="E41"/>
  <c r="H41"/>
  <c r="J41"/>
  <c r="B124" s="1"/>
  <c r="I70"/>
  <c r="F70"/>
  <c r="J70"/>
  <c r="D124" s="1"/>
  <c r="F124"/>
  <c r="K97"/>
  <c r="G124"/>
  <c r="E42"/>
  <c r="H42"/>
  <c r="J42" s="1"/>
  <c r="I71"/>
  <c r="F71"/>
  <c r="J71" s="1"/>
  <c r="F125"/>
  <c r="K98"/>
  <c r="G125" s="1"/>
  <c r="E43"/>
  <c r="H43"/>
  <c r="I72"/>
  <c r="F72"/>
  <c r="F126"/>
  <c r="K99"/>
  <c r="G126" s="1"/>
  <c r="E47"/>
  <c r="H47"/>
  <c r="J47"/>
  <c r="B130" s="1"/>
  <c r="I76"/>
  <c r="F76"/>
  <c r="J76"/>
  <c r="D130" s="1"/>
  <c r="F130"/>
  <c r="K103"/>
  <c r="G130"/>
  <c r="E45"/>
  <c r="H45"/>
  <c r="J45" s="1"/>
  <c r="I74"/>
  <c r="F74"/>
  <c r="J74" s="1"/>
  <c r="F128"/>
  <c r="K101"/>
  <c r="G128" s="1"/>
  <c r="E44"/>
  <c r="H44"/>
  <c r="J44" s="1"/>
  <c r="I73"/>
  <c r="F73"/>
  <c r="J73" s="1"/>
  <c r="F127"/>
  <c r="K100"/>
  <c r="G127" s="1"/>
  <c r="E46"/>
  <c r="H46"/>
  <c r="I75"/>
  <c r="F75"/>
  <c r="F129"/>
  <c r="K102"/>
  <c r="G129" s="1"/>
  <c r="E40"/>
  <c r="H40"/>
  <c r="J40"/>
  <c r="B123" s="1"/>
  <c r="I69"/>
  <c r="F69"/>
  <c r="J69"/>
  <c r="D123" s="1"/>
  <c r="F123"/>
  <c r="K96"/>
  <c r="G123"/>
  <c r="E39"/>
  <c r="H39"/>
  <c r="J39" s="1"/>
  <c r="I68"/>
  <c r="F68"/>
  <c r="J68" s="1"/>
  <c r="F122"/>
  <c r="K95"/>
  <c r="G122" s="1"/>
  <c r="E29"/>
  <c r="H29"/>
  <c r="J29"/>
  <c r="B112" s="1"/>
  <c r="I58"/>
  <c r="F58"/>
  <c r="J58"/>
  <c r="D112" s="1"/>
  <c r="F112"/>
  <c r="G112" s="1"/>
  <c r="E31"/>
  <c r="H31"/>
  <c r="J31" s="1"/>
  <c r="I60"/>
  <c r="F60"/>
  <c r="J60" s="1"/>
  <c r="F114"/>
  <c r="G114"/>
  <c r="E37"/>
  <c r="H37"/>
  <c r="J37" s="1"/>
  <c r="I66"/>
  <c r="F66"/>
  <c r="J66" s="1"/>
  <c r="F120"/>
  <c r="G120" s="1"/>
  <c r="H26"/>
  <c r="J26" s="1"/>
  <c r="F55"/>
  <c r="J55" s="1"/>
  <c r="F109"/>
  <c r="E38"/>
  <c r="H38"/>
  <c r="J38" s="1"/>
  <c r="I67"/>
  <c r="F67"/>
  <c r="J67" s="1"/>
  <c r="J94"/>
  <c r="F121" s="1"/>
  <c r="G121" s="1"/>
  <c r="E36"/>
  <c r="H36"/>
  <c r="I65"/>
  <c r="F65"/>
  <c r="J92"/>
  <c r="F119" s="1"/>
  <c r="G119" s="1"/>
  <c r="E35"/>
  <c r="H35"/>
  <c r="J35" s="1"/>
  <c r="I64"/>
  <c r="F64"/>
  <c r="J64" s="1"/>
  <c r="J91"/>
  <c r="F118" s="1"/>
  <c r="G118" s="1"/>
  <c r="E34"/>
  <c r="H34"/>
  <c r="I63"/>
  <c r="F63"/>
  <c r="J90"/>
  <c r="F117" s="1"/>
  <c r="G117" s="1"/>
  <c r="E33"/>
  <c r="H33"/>
  <c r="J33" s="1"/>
  <c r="I62"/>
  <c r="F62"/>
  <c r="J62" s="1"/>
  <c r="J89"/>
  <c r="F116" s="1"/>
  <c r="G116" s="1"/>
  <c r="E32"/>
  <c r="H32"/>
  <c r="J32"/>
  <c r="B115" s="1"/>
  <c r="I61"/>
  <c r="F61"/>
  <c r="J88"/>
  <c r="F115" s="1"/>
  <c r="G115" s="1"/>
  <c r="E30"/>
  <c r="J30" s="1"/>
  <c r="H30"/>
  <c r="I59"/>
  <c r="J59" s="1"/>
  <c r="F59"/>
  <c r="J86"/>
  <c r="F113" s="1"/>
  <c r="G113" s="1"/>
  <c r="E28"/>
  <c r="H28"/>
  <c r="I57"/>
  <c r="F57"/>
  <c r="J57" s="1"/>
  <c r="J84"/>
  <c r="E27"/>
  <c r="H27"/>
  <c r="J27"/>
  <c r="B110" s="1"/>
  <c r="I56"/>
  <c r="F56"/>
  <c r="J56" s="1"/>
  <c r="D110" s="1"/>
  <c r="J83"/>
  <c r="F110" s="1"/>
  <c r="G110" s="1"/>
  <c r="C10" i="3"/>
  <c r="C7"/>
  <c r="G18"/>
  <c r="I18"/>
  <c r="K18" s="1"/>
  <c r="C5"/>
  <c r="C4"/>
  <c r="A2"/>
  <c r="G26"/>
  <c r="G22"/>
  <c r="G21"/>
  <c r="G20"/>
  <c r="G17"/>
  <c r="G15"/>
  <c r="C9"/>
  <c r="C8"/>
  <c r="C6"/>
  <c r="C3"/>
  <c r="I17"/>
  <c r="J17" s="1"/>
  <c r="I20"/>
  <c r="K20" s="1"/>
  <c r="I21"/>
  <c r="K21" s="1"/>
  <c r="I22"/>
  <c r="K22" s="1"/>
  <c r="I23"/>
  <c r="K23" s="1"/>
  <c r="I24"/>
  <c r="K24" s="1"/>
  <c r="I25"/>
  <c r="K25" s="1"/>
  <c r="I26"/>
  <c r="K26" s="1"/>
  <c r="J28"/>
  <c r="D17"/>
  <c r="D18"/>
  <c r="D20"/>
  <c r="D21"/>
  <c r="E21" s="1"/>
  <c r="D22"/>
  <c r="D24"/>
  <c r="E24" s="1"/>
  <c r="D25"/>
  <c r="D26"/>
  <c r="E26" s="1"/>
  <c r="J26"/>
  <c r="N25"/>
  <c r="E25"/>
  <c r="J24"/>
  <c r="N23"/>
  <c r="E23"/>
  <c r="J22"/>
  <c r="E22"/>
  <c r="N21"/>
  <c r="N20"/>
  <c r="E20"/>
  <c r="E18"/>
  <c r="E17"/>
  <c r="K94" i="1"/>
  <c r="K89"/>
  <c r="K90"/>
  <c r="K91"/>
  <c r="K92"/>
  <c r="K86"/>
  <c r="K83"/>
  <c r="D90"/>
  <c r="I90"/>
  <c r="C90"/>
  <c r="I94"/>
  <c r="I92"/>
  <c r="I91"/>
  <c r="I89"/>
  <c r="I88"/>
  <c r="I21"/>
  <c r="I20"/>
  <c r="H21"/>
  <c r="H20"/>
  <c r="I26"/>
  <c r="I25"/>
  <c r="I24"/>
  <c r="F84"/>
  <c r="H84"/>
  <c r="C84"/>
  <c r="D84"/>
  <c r="I84"/>
  <c r="F86"/>
  <c r="H86"/>
  <c r="C86"/>
  <c r="D86"/>
  <c r="I86"/>
  <c r="F88"/>
  <c r="H88"/>
  <c r="C88"/>
  <c r="D88"/>
  <c r="F89"/>
  <c r="H89"/>
  <c r="C89"/>
  <c r="F91"/>
  <c r="H91"/>
  <c r="C91"/>
  <c r="D91"/>
  <c r="F92"/>
  <c r="H92"/>
  <c r="C92"/>
  <c r="D92"/>
  <c r="F94"/>
  <c r="H94"/>
  <c r="C94"/>
  <c r="D94"/>
  <c r="F83"/>
  <c r="H83"/>
  <c r="C83"/>
  <c r="I83"/>
  <c r="D83"/>
  <c r="D89"/>
  <c r="I40"/>
  <c r="I39"/>
  <c r="A53"/>
  <c r="A54"/>
  <c r="A55"/>
  <c r="A56"/>
  <c r="A57"/>
  <c r="A58"/>
  <c r="A59"/>
  <c r="A60"/>
  <c r="A61"/>
  <c r="A62"/>
  <c r="A63"/>
  <c r="A64"/>
  <c r="A65"/>
  <c r="A66"/>
  <c r="A67"/>
  <c r="A68"/>
  <c r="A69"/>
  <c r="A70"/>
  <c r="A71"/>
  <c r="A72"/>
  <c r="A73"/>
  <c r="A74"/>
  <c r="A75"/>
  <c r="A76"/>
  <c r="A80"/>
  <c r="A81"/>
  <c r="A82"/>
  <c r="A83"/>
  <c r="A84"/>
  <c r="A85"/>
  <c r="A86"/>
  <c r="A87"/>
  <c r="A88"/>
  <c r="A89"/>
  <c r="A90"/>
  <c r="A91"/>
  <c r="A92"/>
  <c r="A93"/>
  <c r="A94"/>
  <c r="A95"/>
  <c r="A96"/>
  <c r="A97"/>
  <c r="A98"/>
  <c r="A99"/>
  <c r="A100"/>
  <c r="A101"/>
  <c r="A102"/>
  <c r="A103"/>
  <c r="A107"/>
  <c r="A108"/>
  <c r="A109"/>
  <c r="A110"/>
  <c r="A111"/>
  <c r="A112"/>
  <c r="A113"/>
  <c r="A114"/>
  <c r="A115"/>
  <c r="A116"/>
  <c r="A117"/>
  <c r="A118"/>
  <c r="A119"/>
  <c r="A120"/>
  <c r="A121"/>
  <c r="A122"/>
  <c r="A123"/>
  <c r="A124"/>
  <c r="A125"/>
  <c r="A126"/>
  <c r="A127"/>
  <c r="A128"/>
  <c r="A129"/>
  <c r="A130"/>
  <c r="A135"/>
  <c r="A136"/>
  <c r="A137"/>
  <c r="A138"/>
  <c r="A139"/>
  <c r="A140"/>
  <c r="A141"/>
  <c r="A142"/>
  <c r="A143"/>
  <c r="A144"/>
  <c r="A145"/>
  <c r="A146"/>
  <c r="A147"/>
  <c r="A148"/>
  <c r="A149"/>
  <c r="A150"/>
  <c r="A151"/>
  <c r="A152"/>
  <c r="A153"/>
  <c r="A154"/>
  <c r="A155"/>
  <c r="A156"/>
  <c r="A157"/>
  <c r="A158"/>
  <c r="D111" l="1"/>
  <c r="K57"/>
  <c r="E111" s="1"/>
  <c r="B109"/>
  <c r="K26"/>
  <c r="C109" s="1"/>
  <c r="D120"/>
  <c r="K66"/>
  <c r="E120" s="1"/>
  <c r="B120"/>
  <c r="K37"/>
  <c r="C120" s="1"/>
  <c r="D127"/>
  <c r="K73"/>
  <c r="E127" s="1"/>
  <c r="B127"/>
  <c r="K44"/>
  <c r="C127" s="1"/>
  <c r="D122"/>
  <c r="K68"/>
  <c r="E122" s="1"/>
  <c r="B122"/>
  <c r="K39"/>
  <c r="C122" s="1"/>
  <c r="I122" s="1"/>
  <c r="D125"/>
  <c r="K71"/>
  <c r="E125" s="1"/>
  <c r="B125"/>
  <c r="K42"/>
  <c r="C125" s="1"/>
  <c r="I125" s="1"/>
  <c r="D108"/>
  <c r="K54"/>
  <c r="E108" s="1"/>
  <c r="B108"/>
  <c r="K25"/>
  <c r="C108" s="1"/>
  <c r="N18" i="3"/>
  <c r="AL22" i="2"/>
  <c r="AT22"/>
  <c r="BB22"/>
  <c r="H19" i="1"/>
  <c r="J18" i="3"/>
  <c r="J20"/>
  <c r="J21"/>
  <c r="N22"/>
  <c r="J23"/>
  <c r="N24"/>
  <c r="J25"/>
  <c r="N26"/>
  <c r="J28" i="1"/>
  <c r="B111" s="1"/>
  <c r="I111" s="1"/>
  <c r="J61"/>
  <c r="J63"/>
  <c r="K63" s="1"/>
  <c r="E117" s="1"/>
  <c r="J34"/>
  <c r="J65"/>
  <c r="K65" s="1"/>
  <c r="E119" s="1"/>
  <c r="J36"/>
  <c r="K58"/>
  <c r="E112" s="1"/>
  <c r="K29"/>
  <c r="C112" s="1"/>
  <c r="K69"/>
  <c r="E123" s="1"/>
  <c r="I123" s="1"/>
  <c r="K40"/>
  <c r="C123" s="1"/>
  <c r="J75"/>
  <c r="D129" s="1"/>
  <c r="J46"/>
  <c r="K76"/>
  <c r="E130" s="1"/>
  <c r="K47"/>
  <c r="C130" s="1"/>
  <c r="J72"/>
  <c r="D126" s="1"/>
  <c r="J43"/>
  <c r="K70"/>
  <c r="E124" s="1"/>
  <c r="I124" s="1"/>
  <c r="K41"/>
  <c r="C124" s="1"/>
  <c r="AP22" i="2"/>
  <c r="AX22"/>
  <c r="BF22"/>
  <c r="K17" i="3"/>
  <c r="N28" s="1"/>
  <c r="N17"/>
  <c r="F111" i="1"/>
  <c r="G111" s="1"/>
  <c r="K84"/>
  <c r="K28"/>
  <c r="C111" s="1"/>
  <c r="K61"/>
  <c r="E115" s="1"/>
  <c r="D115"/>
  <c r="K62"/>
  <c r="E116" s="1"/>
  <c r="D116"/>
  <c r="K33"/>
  <c r="C116" s="1"/>
  <c r="B116"/>
  <c r="D117"/>
  <c r="K34"/>
  <c r="C117" s="1"/>
  <c r="B117"/>
  <c r="K64"/>
  <c r="E118" s="1"/>
  <c r="D118"/>
  <c r="K35"/>
  <c r="C118" s="1"/>
  <c r="B118"/>
  <c r="D119"/>
  <c r="K36"/>
  <c r="C119" s="1"/>
  <c r="B119"/>
  <c r="K67"/>
  <c r="E121" s="1"/>
  <c r="D121"/>
  <c r="K38"/>
  <c r="C121" s="1"/>
  <c r="B121"/>
  <c r="K60"/>
  <c r="E114" s="1"/>
  <c r="D114"/>
  <c r="K31"/>
  <c r="C114" s="1"/>
  <c r="B114"/>
  <c r="K74"/>
  <c r="E128" s="1"/>
  <c r="D128"/>
  <c r="K45"/>
  <c r="C128" s="1"/>
  <c r="B128"/>
  <c r="K53"/>
  <c r="E107" s="1"/>
  <c r="D107"/>
  <c r="K24"/>
  <c r="C107" s="1"/>
  <c r="B107"/>
  <c r="L27" i="2"/>
  <c r="R27"/>
  <c r="X27"/>
  <c r="AL27"/>
  <c r="AT27"/>
  <c r="BB27"/>
  <c r="E28" i="3"/>
  <c r="K56" i="1"/>
  <c r="E110" s="1"/>
  <c r="I110" s="1"/>
  <c r="K27"/>
  <c r="C110" s="1"/>
  <c r="I112"/>
  <c r="I130"/>
  <c r="D113"/>
  <c r="K59"/>
  <c r="E113" s="1"/>
  <c r="K30"/>
  <c r="C113" s="1"/>
  <c r="B113"/>
  <c r="K55"/>
  <c r="E109" s="1"/>
  <c r="I109" s="1"/>
  <c r="D109"/>
  <c r="K75"/>
  <c r="E129" s="1"/>
  <c r="K46"/>
  <c r="C129" s="1"/>
  <c r="B129"/>
  <c r="K72"/>
  <c r="E126" s="1"/>
  <c r="K43"/>
  <c r="C126" s="1"/>
  <c r="B126"/>
  <c r="AP27" i="2"/>
  <c r="AX27"/>
  <c r="BF27"/>
  <c r="I120" i="1"/>
  <c r="I127"/>
  <c r="I108"/>
  <c r="K32"/>
  <c r="C115" s="1"/>
  <c r="I115" s="1"/>
  <c r="K88"/>
  <c r="H18"/>
  <c r="B137" l="1"/>
  <c r="J109"/>
  <c r="C137" s="1"/>
  <c r="P23" i="2" s="1"/>
  <c r="B138" i="1"/>
  <c r="J110"/>
  <c r="C138" s="1"/>
  <c r="R23" i="2" s="1"/>
  <c r="J127" i="1"/>
  <c r="C155" s="1"/>
  <c r="AZ23" i="2" s="1"/>
  <c r="B155" i="1"/>
  <c r="B143"/>
  <c r="J115"/>
  <c r="C143" s="1"/>
  <c r="AB23" i="2" s="1"/>
  <c r="J130" i="1"/>
  <c r="C158" s="1"/>
  <c r="BF23" i="2" s="1"/>
  <c r="B158" i="1"/>
  <c r="B140"/>
  <c r="J112"/>
  <c r="C140" s="1"/>
  <c r="V23" i="2" s="1"/>
  <c r="B139" i="1"/>
  <c r="J111"/>
  <c r="C139" s="1"/>
  <c r="T23" i="2" s="1"/>
  <c r="J108" i="1"/>
  <c r="C136" s="1"/>
  <c r="N23" i="2" s="1"/>
  <c r="B136" i="1"/>
  <c r="B148"/>
  <c r="J120"/>
  <c r="C148" s="1"/>
  <c r="AL23" i="2" s="1"/>
  <c r="J125" i="1"/>
  <c r="C153" s="1"/>
  <c r="AV23" i="2" s="1"/>
  <c r="B153" i="1"/>
  <c r="J122"/>
  <c r="C150" s="1"/>
  <c r="AP23" i="2" s="1"/>
  <c r="B150" i="1"/>
  <c r="J124"/>
  <c r="C152" s="1"/>
  <c r="AT23" i="2" s="1"/>
  <c r="B152" i="1"/>
  <c r="B151"/>
  <c r="J123"/>
  <c r="C151" s="1"/>
  <c r="AR23" i="2" s="1"/>
  <c r="I126" i="1"/>
  <c r="I129"/>
  <c r="I113"/>
  <c r="I107"/>
  <c r="I128"/>
  <c r="I114"/>
  <c r="I121"/>
  <c r="I119"/>
  <c r="I118"/>
  <c r="I117"/>
  <c r="I116"/>
  <c r="B145" l="1"/>
  <c r="J117"/>
  <c r="C145" s="1"/>
  <c r="AF23" i="2" s="1"/>
  <c r="B147" i="1"/>
  <c r="J119"/>
  <c r="C147" s="1"/>
  <c r="AJ23" i="2" s="1"/>
  <c r="B142" i="1"/>
  <c r="J114"/>
  <c r="C142" s="1"/>
  <c r="Z23" i="2" s="1"/>
  <c r="B157" i="1"/>
  <c r="J129"/>
  <c r="C157" s="1"/>
  <c r="BD23" i="2" s="1"/>
  <c r="B144" i="1"/>
  <c r="J116"/>
  <c r="C144" s="1"/>
  <c r="AD23" i="2" s="1"/>
  <c r="B146" i="1"/>
  <c r="J118"/>
  <c r="C146" s="1"/>
  <c r="AH23" i="2" s="1"/>
  <c r="B149" i="1"/>
  <c r="J121"/>
  <c r="C149" s="1"/>
  <c r="AN23" i="2" s="1"/>
  <c r="B156" i="1"/>
  <c r="J128"/>
  <c r="C156" s="1"/>
  <c r="BB23" i="2" s="1"/>
  <c r="J113" i="1"/>
  <c r="C141" s="1"/>
  <c r="X23" i="2" s="1"/>
  <c r="B141" i="1"/>
  <c r="B154"/>
  <c r="J126"/>
  <c r="C154" s="1"/>
  <c r="AX23" i="2" s="1"/>
  <c r="AR24"/>
  <c r="I151" i="1"/>
  <c r="H151"/>
  <c r="AL24" i="2"/>
  <c r="H148" i="1"/>
  <c r="H139"/>
  <c r="T24" i="2"/>
  <c r="V24"/>
  <c r="H140" i="1"/>
  <c r="AB24" i="2"/>
  <c r="H143" i="1"/>
  <c r="H138"/>
  <c r="R24" i="2"/>
  <c r="P24"/>
  <c r="H137" i="1"/>
  <c r="I137"/>
  <c r="J107"/>
  <c r="C135" s="1"/>
  <c r="L23" i="2" s="1"/>
  <c r="B135" i="1"/>
  <c r="AT24" i="2"/>
  <c r="H152" i="1"/>
  <c r="AP24" i="2"/>
  <c r="H150" i="1"/>
  <c r="I150"/>
  <c r="AV24" i="2"/>
  <c r="H153" i="1"/>
  <c r="N24" i="2"/>
  <c r="H136" i="1"/>
  <c r="I136"/>
  <c r="BF24" i="2"/>
  <c r="H158" i="1"/>
  <c r="AZ24" i="2"/>
  <c r="H155" i="1"/>
  <c r="AV28" i="2" l="1"/>
  <c r="AV32"/>
  <c r="AV26"/>
  <c r="AV29" s="1"/>
  <c r="AV30"/>
  <c r="V32"/>
  <c r="V28"/>
  <c r="V29" s="1"/>
  <c r="V26"/>
  <c r="V30"/>
  <c r="AZ28"/>
  <c r="AZ30" s="1"/>
  <c r="AZ32"/>
  <c r="AZ26"/>
  <c r="AZ29" s="1"/>
  <c r="BF28"/>
  <c r="BF30" s="1"/>
  <c r="BF32"/>
  <c r="BF26"/>
  <c r="AP28"/>
  <c r="AP29" s="1"/>
  <c r="AP32"/>
  <c r="AP26"/>
  <c r="AP30"/>
  <c r="AT28"/>
  <c r="AT30" s="1"/>
  <c r="AT26"/>
  <c r="AT32"/>
  <c r="AT29"/>
  <c r="R32"/>
  <c r="R26"/>
  <c r="R28"/>
  <c r="T32"/>
  <c r="T26"/>
  <c r="T28"/>
  <c r="T30" s="1"/>
  <c r="AR28"/>
  <c r="AR26"/>
  <c r="AR32"/>
  <c r="AR30"/>
  <c r="AX24"/>
  <c r="H154" i="1"/>
  <c r="BB24" i="2"/>
  <c r="H156" i="1"/>
  <c r="AN24" i="2"/>
  <c r="H149" i="1"/>
  <c r="AH24" i="2"/>
  <c r="H146" i="1"/>
  <c r="AD24" i="2"/>
  <c r="H144" i="1"/>
  <c r="BD24" i="2"/>
  <c r="H157" i="1"/>
  <c r="Z24" i="2"/>
  <c r="H142" i="1"/>
  <c r="AJ24" i="2"/>
  <c r="H147" i="1"/>
  <c r="AF24" i="2"/>
  <c r="H145" i="1"/>
  <c r="N28" i="2"/>
  <c r="N30" s="1"/>
  <c r="N26"/>
  <c r="N32"/>
  <c r="N29"/>
  <c r="L24"/>
  <c r="H135" i="1"/>
  <c r="I135"/>
  <c r="P26" i="2"/>
  <c r="P32"/>
  <c r="P28"/>
  <c r="P29" s="1"/>
  <c r="AB26"/>
  <c r="AB28"/>
  <c r="AB32"/>
  <c r="AL28"/>
  <c r="AL30" s="1"/>
  <c r="AL26"/>
  <c r="AL32"/>
  <c r="X24"/>
  <c r="H141" i="1"/>
  <c r="AB29" i="2" l="1"/>
  <c r="P30"/>
  <c r="R29"/>
  <c r="AL29"/>
  <c r="AR29"/>
  <c r="T29"/>
  <c r="BF29"/>
  <c r="X32"/>
  <c r="X28"/>
  <c r="X30" s="1"/>
  <c r="X26"/>
  <c r="X29" s="1"/>
  <c r="L28"/>
  <c r="L30" s="1"/>
  <c r="L26"/>
  <c r="L32"/>
  <c r="AB30"/>
  <c r="R30"/>
  <c r="AF28"/>
  <c r="AF30" s="1"/>
  <c r="AF32"/>
  <c r="AF26"/>
  <c r="AF29" s="1"/>
  <c r="AJ28"/>
  <c r="AJ30" s="1"/>
  <c r="AJ26"/>
  <c r="AJ32"/>
  <c r="Z26"/>
  <c r="Z32"/>
  <c r="Z28"/>
  <c r="Z30" s="1"/>
  <c r="BD28"/>
  <c r="BD30" s="1"/>
  <c r="BD26"/>
  <c r="BD32"/>
  <c r="BD29"/>
  <c r="AD28"/>
  <c r="AD26"/>
  <c r="AD30"/>
  <c r="AD29"/>
  <c r="AD32"/>
  <c r="AH28"/>
  <c r="AH26"/>
  <c r="AH32"/>
  <c r="AN28"/>
  <c r="AN26"/>
  <c r="AN29" s="1"/>
  <c r="AN32"/>
  <c r="AN30"/>
  <c r="BB32"/>
  <c r="BB28"/>
  <c r="BB26"/>
  <c r="BB30"/>
  <c r="AX32"/>
  <c r="AX26"/>
  <c r="AX29" s="1"/>
  <c r="AX28"/>
  <c r="AX30"/>
  <c r="AJ29" l="1"/>
  <c r="L29"/>
  <c r="AH29"/>
  <c r="BB29"/>
  <c r="AH30"/>
  <c r="Z29"/>
</calcChain>
</file>

<file path=xl/comments1.xml><?xml version="1.0" encoding="utf-8"?>
<comments xmlns="http://schemas.openxmlformats.org/spreadsheetml/2006/main">
  <authors>
    <author>Jon Risgaard</author>
    <author>Dana_Folley</author>
    <author>Jon_Risgaard</author>
  </authors>
  <commentList>
    <comment ref="C9" authorId="0">
      <text>
        <r>
          <rPr>
            <sz val="8"/>
            <color indexed="81"/>
            <rFont val="Tahoma"/>
            <family val="2"/>
          </rPr>
          <t>Get this from the Uncontrollable Mass Balance Spreadsheet</t>
        </r>
        <r>
          <rPr>
            <sz val="8"/>
            <color indexed="81"/>
            <rFont val="Tahoma"/>
            <family val="2"/>
          </rPr>
          <t xml:space="preserve">
</t>
        </r>
      </text>
    </comment>
    <comment ref="C10" authorId="0">
      <text>
        <r>
          <rPr>
            <b/>
            <sz val="8"/>
            <color indexed="81"/>
            <rFont val="Tahoma"/>
            <family val="2"/>
          </rPr>
          <t>Conversion Formula:
MGD = 0.646 * CFS</t>
        </r>
        <r>
          <rPr>
            <sz val="8"/>
            <color indexed="81"/>
            <rFont val="Tahoma"/>
            <family val="2"/>
          </rPr>
          <t xml:space="preserve">
</t>
        </r>
      </text>
    </comment>
    <comment ref="C11" authorId="0">
      <text>
        <r>
          <rPr>
            <sz val="8"/>
            <color indexed="81"/>
            <rFont val="Tahoma"/>
            <family val="2"/>
          </rPr>
          <t>Stream Classification can be found in the NPDES permit.  Likely classifications are:
Class C (use aquatic life stream stds.)
Class C - TR (Trout Waters) 
Class WS (water Supply)
Class WS - TR</t>
        </r>
      </text>
    </comment>
    <comment ref="C13" authorId="1">
      <text>
        <r>
          <rPr>
            <sz val="8"/>
            <color indexed="81"/>
            <rFont val="Tahoma"/>
            <family val="2"/>
          </rPr>
          <t>Input "A" for Class A-composted sludge, 
Input "B" for Class B Sludge-land application, or
leave blank if all sludge goes to a landfill.
Spreadsheet will automatically insert applicable 40 CFR 503 sludge limits on sludge page and in HASL.</t>
        </r>
      </text>
    </comment>
    <comment ref="C14" authorId="0">
      <text>
        <r>
          <rPr>
            <sz val="8"/>
            <color indexed="81"/>
            <rFont val="Tahoma"/>
            <family val="2"/>
          </rPr>
          <t xml:space="preserve">Only Required for POTWs with an Anaerobic Digestor
</t>
        </r>
      </text>
    </comment>
    <comment ref="C15" authorId="0">
      <text>
        <r>
          <rPr>
            <sz val="8"/>
            <color indexed="81"/>
            <rFont val="Tahoma"/>
            <family val="2"/>
          </rPr>
          <t xml:space="preserve">Only Required for POTWs with a Sludge Permit
</t>
        </r>
      </text>
    </comment>
    <comment ref="C16" authorId="0">
      <text>
        <r>
          <rPr>
            <sz val="8"/>
            <color indexed="81"/>
            <rFont val="Tahoma"/>
            <family val="2"/>
          </rPr>
          <t xml:space="preserve">Only Required for POTWs with a Sludge Permit
</t>
        </r>
      </text>
    </comment>
    <comment ref="C17" authorId="0">
      <text>
        <r>
          <rPr>
            <sz val="8"/>
            <color indexed="81"/>
            <rFont val="Tahoma"/>
            <family val="2"/>
          </rPr>
          <t>Only required for POTWs that land apply sludge</t>
        </r>
      </text>
    </comment>
    <comment ref="G17" authorId="0">
      <text>
        <r>
          <rPr>
            <sz val="8"/>
            <color indexed="81"/>
            <rFont val="Tahoma"/>
            <family val="2"/>
          </rPr>
          <t>Design Information can be found in WWTF operation manual, or by contacting design engineer.  If not available, leave blank.</t>
        </r>
      </text>
    </comment>
    <comment ref="C18" authorId="0">
      <text>
        <r>
          <rPr>
            <sz val="8"/>
            <color indexed="81"/>
            <rFont val="Tahoma"/>
            <family val="2"/>
          </rPr>
          <t>Only required for POTWs that land apply sludge</t>
        </r>
      </text>
    </comment>
    <comment ref="G18" authorId="0">
      <text>
        <r>
          <rPr>
            <sz val="8"/>
            <color indexed="81"/>
            <rFont val="Tahoma"/>
            <family val="2"/>
          </rPr>
          <t>Design Information can be found in WWTF operation manual, or by contacting design engineer.  If not available, leave blank.</t>
        </r>
      </text>
    </comment>
    <comment ref="C19" authorId="0">
      <text>
        <r>
          <rPr>
            <sz val="8"/>
            <color indexed="81"/>
            <rFont val="Tahoma"/>
            <family val="2"/>
          </rPr>
          <t>Only required for POTWs that land apply sludge</t>
        </r>
      </text>
    </comment>
    <comment ref="G19" authorId="0">
      <text>
        <r>
          <rPr>
            <sz val="8"/>
            <color indexed="81"/>
            <rFont val="Tahoma"/>
            <family val="2"/>
          </rPr>
          <t>Design Information can be found in WWTF operation manual, or by contacting design engineer.  If not available, leave blank.</t>
        </r>
        <r>
          <rPr>
            <sz val="8"/>
            <color indexed="81"/>
            <rFont val="Tahoma"/>
            <family val="2"/>
          </rPr>
          <t xml:space="preserve">
</t>
        </r>
      </text>
    </comment>
    <comment ref="G20" authorId="0">
      <text>
        <r>
          <rPr>
            <sz val="8"/>
            <color indexed="81"/>
            <rFont val="Tahoma"/>
            <family val="2"/>
          </rPr>
          <t>Design Information can be found in WWTF operation manual, or by contacting design engineer.  If not available, leave blank.</t>
        </r>
        <r>
          <rPr>
            <sz val="8"/>
            <color indexed="81"/>
            <rFont val="Tahoma"/>
            <family val="2"/>
          </rPr>
          <t xml:space="preserve">
</t>
        </r>
      </text>
    </comment>
    <comment ref="G21" authorId="0">
      <text>
        <r>
          <rPr>
            <sz val="8"/>
            <color indexed="81"/>
            <rFont val="Tahoma"/>
            <family val="2"/>
          </rPr>
          <t>Design Information can be found in WWTF operation manual, or by contacting design engineer.  If not available, leave blank.</t>
        </r>
        <r>
          <rPr>
            <sz val="8"/>
            <color indexed="81"/>
            <rFont val="Tahoma"/>
            <family val="2"/>
          </rPr>
          <t xml:space="preserve">
</t>
        </r>
      </text>
    </comment>
    <comment ref="F23" authorId="1">
      <text>
        <r>
          <rPr>
            <sz val="8"/>
            <color indexed="81"/>
            <rFont val="Tahoma"/>
            <family val="2"/>
          </rPr>
          <t>Stream Classification can be found in the NPDES permit.  Likely classifications are:
Class C (use aquatic life stream stds.)
Class C - TR (Trout Waters) 
Class WS (water Supply)
Class WS - TR (use more stringent of WS and TR stds.)</t>
        </r>
      </text>
    </comment>
    <comment ref="C27" authorId="0">
      <text>
        <r>
          <rPr>
            <sz val="8"/>
            <color indexed="81"/>
            <rFont val="Tahoma"/>
            <family val="2"/>
          </rPr>
          <t xml:space="preserve">Literature Values: (As)
45% - Activated Sludge
Not Available for Trickling Filter - use 45%
</t>
        </r>
      </text>
    </comment>
    <comment ref="F27" authorId="0">
      <text>
        <r>
          <rPr>
            <b/>
            <sz val="8"/>
            <color indexed="81"/>
            <rFont val="Tahoma"/>
            <family val="2"/>
          </rPr>
          <t>Freshwater (As)</t>
        </r>
        <r>
          <rPr>
            <sz val="8"/>
            <color indexed="81"/>
            <rFont val="Tahoma"/>
            <family val="2"/>
          </rPr>
          <t xml:space="preserve">
0.05 mg/l - Aquatic Life
0.01 mg/l - Water Supply
0.05 mg/l - Trout Waters
</t>
        </r>
        <r>
          <rPr>
            <b/>
            <sz val="8"/>
            <color indexed="81"/>
            <rFont val="Tahoma"/>
            <family val="2"/>
          </rPr>
          <t xml:space="preserve">Saltwater (As)
</t>
        </r>
        <r>
          <rPr>
            <sz val="8"/>
            <color indexed="81"/>
            <rFont val="Tahoma"/>
            <family val="2"/>
          </rPr>
          <t>0.05 mg/l</t>
        </r>
      </text>
    </comment>
    <comment ref="C28" authorId="0">
      <text>
        <r>
          <rPr>
            <sz val="8"/>
            <color indexed="81"/>
            <rFont val="Tahoma"/>
            <family val="2"/>
          </rPr>
          <t>Literature Values: (Cd)
67% - Activated Sludge
68% - Trickling Filter</t>
        </r>
      </text>
    </comment>
    <comment ref="F28" authorId="0">
      <text>
        <r>
          <rPr>
            <b/>
            <sz val="8"/>
            <color indexed="81"/>
            <rFont val="Tahoma"/>
            <family val="2"/>
          </rPr>
          <t>Freshwater (Cd)</t>
        </r>
        <r>
          <rPr>
            <sz val="8"/>
            <color indexed="81"/>
            <rFont val="Tahoma"/>
            <family val="2"/>
          </rPr>
          <t xml:space="preserve">
0.002 mg/l - Aquatic Life
0.002 mg/l -  Water Supply
0.0004 mg/l - Trout Waters
</t>
        </r>
        <r>
          <rPr>
            <b/>
            <sz val="8"/>
            <color indexed="81"/>
            <rFont val="Tahoma"/>
            <family val="2"/>
          </rPr>
          <t>Saltwater (Cd)</t>
        </r>
        <r>
          <rPr>
            <sz val="8"/>
            <color indexed="81"/>
            <rFont val="Tahoma"/>
            <family val="2"/>
          </rPr>
          <t xml:space="preserve">
0.005 mg/l
</t>
        </r>
        <r>
          <rPr>
            <b/>
            <sz val="8"/>
            <color indexed="81"/>
            <rFont val="Tahoma"/>
            <family val="2"/>
          </rPr>
          <t>EPA Required POC</t>
        </r>
      </text>
    </comment>
    <comment ref="C29" authorId="0">
      <text>
        <r>
          <rPr>
            <sz val="8"/>
            <color indexed="81"/>
            <rFont val="Tahoma"/>
            <family val="2"/>
          </rPr>
          <t>Literature Values: (Cr)
82% - Activated Sludge
55% - Trickling Filter</t>
        </r>
      </text>
    </comment>
    <comment ref="F29" authorId="0">
      <text>
        <r>
          <rPr>
            <b/>
            <sz val="8"/>
            <color indexed="81"/>
            <rFont val="Tahoma"/>
            <family val="2"/>
          </rPr>
          <t>Freshwater (Cr)</t>
        </r>
        <r>
          <rPr>
            <sz val="8"/>
            <color indexed="81"/>
            <rFont val="Tahoma"/>
            <family val="2"/>
          </rPr>
          <t xml:space="preserve">
0.05 mg/l - Aquatic Life
0.05 mg/l - Water Supply
0.05 mg/l - Trout Waters
</t>
        </r>
        <r>
          <rPr>
            <b/>
            <sz val="8"/>
            <color indexed="81"/>
            <rFont val="Tahoma"/>
            <family val="2"/>
          </rPr>
          <t xml:space="preserve">Saltwater (Cr)
</t>
        </r>
        <r>
          <rPr>
            <sz val="8"/>
            <color indexed="81"/>
            <rFont val="Tahoma"/>
            <family val="2"/>
          </rPr>
          <t xml:space="preserve">0.02 mg/l
</t>
        </r>
        <r>
          <rPr>
            <b/>
            <sz val="8"/>
            <color indexed="81"/>
            <rFont val="Tahoma"/>
            <family val="2"/>
          </rPr>
          <t>EPA Required POC</t>
        </r>
      </text>
    </comment>
    <comment ref="C30" authorId="0">
      <text>
        <r>
          <rPr>
            <sz val="8"/>
            <color indexed="81"/>
            <rFont val="Tahoma"/>
            <family val="2"/>
          </rPr>
          <t>Literature Values: (Cu)
86% - Activated Sludge
61% - Trickling Filter</t>
        </r>
        <r>
          <rPr>
            <sz val="8"/>
            <color indexed="81"/>
            <rFont val="Tahoma"/>
            <family val="2"/>
          </rPr>
          <t xml:space="preserve">
</t>
        </r>
      </text>
    </comment>
    <comment ref="F30" authorId="0">
      <text>
        <r>
          <rPr>
            <b/>
            <sz val="8"/>
            <color indexed="81"/>
            <rFont val="Tahoma"/>
            <family val="2"/>
          </rPr>
          <t>Freshwater  (Cu)</t>
        </r>
        <r>
          <rPr>
            <sz val="8"/>
            <color indexed="81"/>
            <rFont val="Tahoma"/>
            <family val="2"/>
          </rPr>
          <t xml:space="preserve">
0.007 mg/l - Aquatic Life
0.007 mg/l - Water Supply
0.007 mg/l - Trout Waters
</t>
        </r>
        <r>
          <rPr>
            <b/>
            <sz val="8"/>
            <color indexed="81"/>
            <rFont val="Tahoma"/>
            <family val="2"/>
          </rPr>
          <t>Saltwater (Cu)</t>
        </r>
        <r>
          <rPr>
            <sz val="8"/>
            <color indexed="81"/>
            <rFont val="Tahoma"/>
            <family val="2"/>
          </rPr>
          <t xml:space="preserve">
0.003 mg/l
</t>
        </r>
        <r>
          <rPr>
            <b/>
            <sz val="8"/>
            <color indexed="81"/>
            <rFont val="Tahoma"/>
            <family val="2"/>
          </rPr>
          <t>Action Level POC</t>
        </r>
        <r>
          <rPr>
            <sz val="8"/>
            <color indexed="81"/>
            <rFont val="Tahoma"/>
            <family val="2"/>
          </rPr>
          <t xml:space="preserve"> - only required to use in HWA if failing whole effluent toxicity due to copper.</t>
        </r>
        <r>
          <rPr>
            <b/>
            <sz val="8"/>
            <color indexed="81"/>
            <rFont val="Tahoma"/>
            <family val="2"/>
          </rPr>
          <t xml:space="preserve">
EPA Required POC</t>
        </r>
      </text>
    </comment>
    <comment ref="C31" authorId="0">
      <text>
        <r>
          <rPr>
            <sz val="8"/>
            <color indexed="81"/>
            <rFont val="Tahoma"/>
            <family val="2"/>
          </rPr>
          <t>Literature Values: (Cn)
69% - Activated Sludge
59% - Trickling Filter</t>
        </r>
        <r>
          <rPr>
            <sz val="8"/>
            <color indexed="81"/>
            <rFont val="Tahoma"/>
            <family val="2"/>
          </rPr>
          <t xml:space="preserve">
</t>
        </r>
      </text>
    </comment>
    <comment ref="F31" authorId="0">
      <text>
        <r>
          <rPr>
            <b/>
            <sz val="8"/>
            <color indexed="81"/>
            <rFont val="Tahoma"/>
            <family val="2"/>
          </rPr>
          <t>Freshwater  (CN)</t>
        </r>
        <r>
          <rPr>
            <sz val="8"/>
            <color indexed="81"/>
            <rFont val="Tahoma"/>
            <family val="2"/>
          </rPr>
          <t xml:space="preserve">
0.005 mg/l - Aquatic Life
0.005 mg/l - Water Supply
0.005 mg/l - Trout Waters
</t>
        </r>
        <r>
          <rPr>
            <b/>
            <sz val="8"/>
            <color indexed="81"/>
            <rFont val="Tahoma"/>
            <family val="2"/>
          </rPr>
          <t>Saltwater (CN)</t>
        </r>
        <r>
          <rPr>
            <sz val="8"/>
            <color indexed="81"/>
            <rFont val="Tahoma"/>
            <family val="2"/>
          </rPr>
          <t xml:space="preserve">
0.001 mg/l</t>
        </r>
      </text>
    </comment>
    <comment ref="C32" authorId="0">
      <text>
        <r>
          <rPr>
            <sz val="8"/>
            <color indexed="81"/>
            <rFont val="Tahoma"/>
            <family val="2"/>
          </rPr>
          <t>Literature Values: (Pb)
61% - Activated Sludge
55% - Trickling Filter</t>
        </r>
        <r>
          <rPr>
            <sz val="8"/>
            <color indexed="81"/>
            <rFont val="Tahoma"/>
            <family val="2"/>
          </rPr>
          <t xml:space="preserve">
</t>
        </r>
      </text>
    </comment>
    <comment ref="F32" authorId="0">
      <text>
        <r>
          <rPr>
            <b/>
            <sz val="8"/>
            <color indexed="81"/>
            <rFont val="Tahoma"/>
            <family val="2"/>
          </rPr>
          <t>Freshwater  (Pb)</t>
        </r>
        <r>
          <rPr>
            <sz val="8"/>
            <color indexed="81"/>
            <rFont val="Tahoma"/>
            <family val="2"/>
          </rPr>
          <t xml:space="preserve">
0.025 mg/l - Aquatic Life
0.025 mg/l - Water Supply
0.025 mg/l - Trout Waters
</t>
        </r>
        <r>
          <rPr>
            <b/>
            <sz val="8"/>
            <color indexed="81"/>
            <rFont val="Tahoma"/>
            <family val="2"/>
          </rPr>
          <t>Saltwater (Pb)</t>
        </r>
        <r>
          <rPr>
            <sz val="8"/>
            <color indexed="81"/>
            <rFont val="Tahoma"/>
            <family val="2"/>
          </rPr>
          <t xml:space="preserve">
0.025 mg/l
</t>
        </r>
        <r>
          <rPr>
            <b/>
            <sz val="8"/>
            <color indexed="81"/>
            <rFont val="Tahoma"/>
            <family val="2"/>
          </rPr>
          <t>EPA Required POC</t>
        </r>
      </text>
    </comment>
    <comment ref="C33" authorId="0">
      <text>
        <r>
          <rPr>
            <sz val="8"/>
            <color indexed="81"/>
            <rFont val="Tahoma"/>
            <family val="2"/>
          </rPr>
          <t>Literature Values: (Hg)
60% - Activated Sludge
50% - Trickling Filter</t>
        </r>
        <r>
          <rPr>
            <sz val="8"/>
            <color indexed="81"/>
            <rFont val="Tahoma"/>
            <family val="2"/>
          </rPr>
          <t xml:space="preserve">
</t>
        </r>
      </text>
    </comment>
    <comment ref="F33" authorId="0">
      <text>
        <r>
          <rPr>
            <b/>
            <sz val="8"/>
            <color indexed="81"/>
            <rFont val="Tahoma"/>
            <family val="2"/>
          </rPr>
          <t>Freshwater (Hg)</t>
        </r>
        <r>
          <rPr>
            <sz val="8"/>
            <color indexed="81"/>
            <rFont val="Tahoma"/>
            <family val="2"/>
          </rPr>
          <t xml:space="preserve">
0.000012 mg/l - Aquatic Life
0.000012 mg/l - Water Supply
0.000012 mg/l - Trout Waters
</t>
        </r>
        <r>
          <rPr>
            <b/>
            <sz val="8"/>
            <color indexed="81"/>
            <rFont val="Tahoma"/>
            <family val="2"/>
          </rPr>
          <t>Saltwater (Hg)</t>
        </r>
        <r>
          <rPr>
            <sz val="8"/>
            <color indexed="81"/>
            <rFont val="Tahoma"/>
            <family val="2"/>
          </rPr>
          <t xml:space="preserve">
0.000025 mg/l</t>
        </r>
      </text>
    </comment>
    <comment ref="C34" authorId="0">
      <text>
        <r>
          <rPr>
            <sz val="8"/>
            <color indexed="81"/>
            <rFont val="Tahoma"/>
            <family val="2"/>
          </rPr>
          <t>Literature Values: (Mo)
33% - Activated Sludge
33% - Trickling Filter</t>
        </r>
        <r>
          <rPr>
            <sz val="8"/>
            <color indexed="81"/>
            <rFont val="Tahoma"/>
            <family val="2"/>
          </rPr>
          <t xml:space="preserve">
Source is EPA RREL Database</t>
        </r>
      </text>
    </comment>
    <comment ref="F34" authorId="0">
      <text>
        <r>
          <rPr>
            <b/>
            <sz val="8"/>
            <color indexed="81"/>
            <rFont val="Tahoma"/>
            <family val="2"/>
          </rPr>
          <t>Freshwater  (Mo)</t>
        </r>
        <r>
          <rPr>
            <sz val="8"/>
            <color indexed="81"/>
            <rFont val="Tahoma"/>
            <family val="2"/>
          </rPr>
          <t xml:space="preserve">
none - Aquatic Life
none - Water Supply
none - Trout Waters
</t>
        </r>
        <r>
          <rPr>
            <b/>
            <sz val="8"/>
            <color indexed="81"/>
            <rFont val="Tahoma"/>
            <family val="2"/>
          </rPr>
          <t>Saltwater (Mo)</t>
        </r>
        <r>
          <rPr>
            <sz val="8"/>
            <color indexed="81"/>
            <rFont val="Tahoma"/>
            <family val="2"/>
          </rPr>
          <t xml:space="preserve">
none
</t>
        </r>
      </text>
    </comment>
    <comment ref="C35" authorId="0">
      <text>
        <r>
          <rPr>
            <sz val="8"/>
            <color indexed="81"/>
            <rFont val="Tahoma"/>
            <family val="2"/>
          </rPr>
          <t>Literature Values: (Ni)
42% - Activated Sludge
29% - Trickling Filter</t>
        </r>
        <r>
          <rPr>
            <sz val="8"/>
            <color indexed="81"/>
            <rFont val="Tahoma"/>
            <family val="2"/>
          </rPr>
          <t xml:space="preserve">
</t>
        </r>
      </text>
    </comment>
    <comment ref="F35" authorId="0">
      <text>
        <r>
          <rPr>
            <b/>
            <sz val="8"/>
            <color indexed="81"/>
            <rFont val="Tahoma"/>
            <family val="2"/>
          </rPr>
          <t>Freshwater  (Ni)</t>
        </r>
        <r>
          <rPr>
            <sz val="8"/>
            <color indexed="81"/>
            <rFont val="Tahoma"/>
            <family val="2"/>
          </rPr>
          <t xml:space="preserve">
0.088 mg/l - Aquatic Life
0.025 mg/l - Water Supply
0.088 mg/l - Trout Waters
</t>
        </r>
        <r>
          <rPr>
            <b/>
            <sz val="8"/>
            <color indexed="81"/>
            <rFont val="Tahoma"/>
            <family val="2"/>
          </rPr>
          <t>Saltwater (Ni)</t>
        </r>
        <r>
          <rPr>
            <sz val="8"/>
            <color indexed="81"/>
            <rFont val="Tahoma"/>
            <family val="2"/>
          </rPr>
          <t xml:space="preserve">
0.0083 mg/l
</t>
        </r>
        <r>
          <rPr>
            <b/>
            <sz val="8"/>
            <color indexed="81"/>
            <rFont val="Tahoma"/>
            <family val="2"/>
          </rPr>
          <t>EPA Required POC</t>
        </r>
      </text>
    </comment>
    <comment ref="C36" authorId="0">
      <text>
        <r>
          <rPr>
            <sz val="8"/>
            <color indexed="81"/>
            <rFont val="Tahoma"/>
            <family val="2"/>
          </rPr>
          <t>Literature Values: (Se)
50% - Activated Sludge
Not Available for Trickling Filter - use 50%</t>
        </r>
        <r>
          <rPr>
            <sz val="8"/>
            <color indexed="81"/>
            <rFont val="Tahoma"/>
            <family val="2"/>
          </rPr>
          <t xml:space="preserve">
</t>
        </r>
      </text>
    </comment>
    <comment ref="F36" authorId="0">
      <text>
        <r>
          <rPr>
            <b/>
            <sz val="8"/>
            <color indexed="81"/>
            <rFont val="Tahoma"/>
            <family val="2"/>
          </rPr>
          <t>Freshwater  (Se)</t>
        </r>
        <r>
          <rPr>
            <sz val="8"/>
            <color indexed="81"/>
            <rFont val="Tahoma"/>
            <family val="2"/>
          </rPr>
          <t xml:space="preserve">
0.005 mg/l - Aquatic Life
0.005 mg/l - Water Supply
0.005 mg/l - Trout Waters
</t>
        </r>
        <r>
          <rPr>
            <b/>
            <sz val="8"/>
            <color indexed="81"/>
            <rFont val="Tahoma"/>
            <family val="2"/>
          </rPr>
          <t>Saltwater (Se)</t>
        </r>
        <r>
          <rPr>
            <sz val="8"/>
            <color indexed="81"/>
            <rFont val="Tahoma"/>
            <family val="2"/>
          </rPr>
          <t xml:space="preserve">
0.071 mg/l</t>
        </r>
      </text>
    </comment>
    <comment ref="C37" authorId="0">
      <text>
        <r>
          <rPr>
            <sz val="8"/>
            <color indexed="81"/>
            <rFont val="Tahoma"/>
            <family val="2"/>
          </rPr>
          <t>Literature Values: (Ag)
75% - Activated Sludge
66% - Trickling Filter</t>
        </r>
        <r>
          <rPr>
            <sz val="8"/>
            <color indexed="81"/>
            <rFont val="Tahoma"/>
            <family val="2"/>
          </rPr>
          <t xml:space="preserve">
</t>
        </r>
      </text>
    </comment>
    <comment ref="F37" authorId="0">
      <text>
        <r>
          <rPr>
            <b/>
            <sz val="8"/>
            <color indexed="81"/>
            <rFont val="Tahoma"/>
            <family val="2"/>
          </rPr>
          <t>Freshwater  (Ag)</t>
        </r>
        <r>
          <rPr>
            <sz val="8"/>
            <color indexed="81"/>
            <rFont val="Tahoma"/>
            <family val="2"/>
          </rPr>
          <t xml:space="preserve">
0.00006 mg/l - Aquatic Life
0.00006 mg/l - Water Supply
0.00006 mg/l - Trout Waters
</t>
        </r>
        <r>
          <rPr>
            <b/>
            <sz val="8"/>
            <color indexed="81"/>
            <rFont val="Tahoma"/>
            <family val="2"/>
          </rPr>
          <t>Saltwater (Ag)</t>
        </r>
        <r>
          <rPr>
            <sz val="8"/>
            <color indexed="81"/>
            <rFont val="Tahoma"/>
            <family val="2"/>
          </rPr>
          <t xml:space="preserve">
0.0001 mg/l
</t>
        </r>
        <r>
          <rPr>
            <b/>
            <sz val="8"/>
            <color indexed="81"/>
            <rFont val="Tahoma"/>
            <family val="2"/>
          </rPr>
          <t>Action Level POC</t>
        </r>
        <r>
          <rPr>
            <sz val="8"/>
            <color indexed="81"/>
            <rFont val="Tahoma"/>
            <family val="2"/>
          </rPr>
          <t xml:space="preserve"> - only required to use in HWA if failing whole effluent toxicity due to silver.</t>
        </r>
      </text>
    </comment>
    <comment ref="C38" authorId="0">
      <text>
        <r>
          <rPr>
            <sz val="8"/>
            <color indexed="81"/>
            <rFont val="Tahoma"/>
            <family val="2"/>
          </rPr>
          <t>Literature Values: (Zn)
79% - Activated Sludge
67% - Trickling Filter</t>
        </r>
        <r>
          <rPr>
            <sz val="8"/>
            <color indexed="81"/>
            <rFont val="Tahoma"/>
            <family val="2"/>
          </rPr>
          <t xml:space="preserve">
</t>
        </r>
      </text>
    </comment>
    <comment ref="F38" authorId="0">
      <text>
        <r>
          <rPr>
            <b/>
            <sz val="8"/>
            <color indexed="81"/>
            <rFont val="Tahoma"/>
            <family val="2"/>
          </rPr>
          <t>Freshwater  (Zn)</t>
        </r>
        <r>
          <rPr>
            <sz val="8"/>
            <color indexed="81"/>
            <rFont val="Tahoma"/>
            <family val="2"/>
          </rPr>
          <t xml:space="preserve">
0.05 mg/l - Aquatic Life
0.05 mg/l - Water Supply
0.05 mg/l - Trout Waters
</t>
        </r>
        <r>
          <rPr>
            <b/>
            <sz val="8"/>
            <color indexed="81"/>
            <rFont val="Tahoma"/>
            <family val="2"/>
          </rPr>
          <t>Saltwater (Zn)</t>
        </r>
        <r>
          <rPr>
            <sz val="8"/>
            <color indexed="81"/>
            <rFont val="Tahoma"/>
            <family val="2"/>
          </rPr>
          <t xml:space="preserve">
0.086 mg/l
</t>
        </r>
        <r>
          <rPr>
            <b/>
            <sz val="8"/>
            <color indexed="81"/>
            <rFont val="Tahoma"/>
            <family val="2"/>
          </rPr>
          <t>Action Level POC</t>
        </r>
        <r>
          <rPr>
            <sz val="8"/>
            <color indexed="81"/>
            <rFont val="Tahoma"/>
            <family val="2"/>
          </rPr>
          <t xml:space="preserve"> - only required to use in HWA if failing whole effluent toxicity due to zinc.</t>
        </r>
        <r>
          <rPr>
            <b/>
            <sz val="8"/>
            <color indexed="81"/>
            <rFont val="Tahoma"/>
            <family val="2"/>
          </rPr>
          <t xml:space="preserve">
EPA Required POC</t>
        </r>
      </text>
    </comment>
    <comment ref="G49" authorId="0">
      <text>
        <r>
          <rPr>
            <sz val="8"/>
            <color indexed="81"/>
            <rFont val="Tahoma"/>
            <family val="2"/>
          </rPr>
          <t>This concentration is used to calculate ammonia inhibition MAHL.</t>
        </r>
        <r>
          <rPr>
            <sz val="8"/>
            <color indexed="81"/>
            <rFont val="Tahoma"/>
            <family val="2"/>
          </rPr>
          <t xml:space="preserve">
</t>
        </r>
      </text>
    </comment>
    <comment ref="G50" authorId="0">
      <text>
        <r>
          <rPr>
            <sz val="8"/>
            <color indexed="81"/>
            <rFont val="Tahoma"/>
            <family val="2"/>
          </rPr>
          <t>This concentration is used to calculate ammonia inhibition MAHL.</t>
        </r>
        <r>
          <rPr>
            <sz val="8"/>
            <color indexed="81"/>
            <rFont val="Tahoma"/>
            <family val="2"/>
          </rPr>
          <t xml:space="preserve">
</t>
        </r>
      </text>
    </comment>
    <comment ref="B52" authorId="0">
      <text>
        <r>
          <rPr>
            <b/>
            <sz val="8"/>
            <color indexed="81"/>
            <rFont val="Tahoma"/>
            <family val="2"/>
          </rPr>
          <t>Primary Removal Rates can only be used if Primary Clarifier Effluent is  sampled in the LTMP or STMP</t>
        </r>
      </text>
    </comment>
    <comment ref="D52" authorId="0">
      <text>
        <r>
          <rPr>
            <b/>
            <sz val="8"/>
            <color indexed="81"/>
            <rFont val="Tahoma"/>
            <family val="2"/>
          </rPr>
          <t>FROM PERCS:
Use the most stringent inhibition criteria that applies to the WWTF.</t>
        </r>
      </text>
    </comment>
    <comment ref="B55" authorId="0">
      <text>
        <r>
          <rPr>
            <sz val="8"/>
            <color indexed="81"/>
            <rFont val="Tahoma"/>
            <family val="2"/>
          </rPr>
          <t>Literature Values: (Ammonia)
N/A - Primary Clarifier</t>
        </r>
      </text>
    </comment>
    <comment ref="D55" authorId="0">
      <text>
        <r>
          <rPr>
            <sz val="8"/>
            <color indexed="81"/>
            <rFont val="Tahoma"/>
            <family val="2"/>
          </rPr>
          <t>Literature Values: (Ammonia)
480 mg/l - Act. Sludge
None Available - Nitrification
 480 mg/l - Trickling Filter</t>
        </r>
        <r>
          <rPr>
            <sz val="8"/>
            <color indexed="81"/>
            <rFont val="Tahoma"/>
            <family val="2"/>
          </rPr>
          <t xml:space="preserve">
</t>
        </r>
      </text>
    </comment>
    <comment ref="G55" authorId="0">
      <text>
        <r>
          <rPr>
            <sz val="8"/>
            <color indexed="81"/>
            <rFont val="Tahoma"/>
            <family val="2"/>
          </rPr>
          <t>Literature Values: (Ammonia)
1500 mg/l - Anaerobic Digestor</t>
        </r>
        <r>
          <rPr>
            <sz val="8"/>
            <color indexed="81"/>
            <rFont val="Tahoma"/>
            <family val="2"/>
          </rPr>
          <t xml:space="preserve">
</t>
        </r>
        <r>
          <rPr>
            <u/>
            <sz val="8"/>
            <color indexed="81"/>
            <rFont val="Tahoma"/>
            <family val="2"/>
          </rPr>
          <t>Note to POTWs</t>
        </r>
        <r>
          <rPr>
            <sz val="8"/>
            <color indexed="81"/>
            <rFont val="Tahoma"/>
            <family val="2"/>
          </rPr>
          <t xml:space="preserve">:   for formula to work properly, </t>
        </r>
        <r>
          <rPr>
            <u/>
            <sz val="8"/>
            <color indexed="81"/>
            <rFont val="Tahoma"/>
            <family val="2"/>
          </rPr>
          <t>MUST</t>
        </r>
        <r>
          <rPr>
            <sz val="8"/>
            <color indexed="81"/>
            <rFont val="Tahoma"/>
            <family val="2"/>
          </rPr>
          <t xml:space="preserve"> enter info in 
C14 = flow to digester, 
G49 = influent NH3, and 
G50 = influent to digester NH3.</t>
        </r>
      </text>
    </comment>
    <comment ref="I55" authorId="0">
      <text>
        <r>
          <rPr>
            <sz val="8"/>
            <color indexed="81"/>
            <rFont val="Tahoma"/>
            <family val="2"/>
          </rPr>
          <t xml:space="preserve">This calculation considers the average anaerobic digestor concentration, entered at the top of this page, using the </t>
        </r>
        <r>
          <rPr>
            <u/>
            <sz val="8"/>
            <color indexed="81"/>
            <rFont val="Tahoma"/>
            <family val="2"/>
          </rPr>
          <t>non</t>
        </r>
        <r>
          <rPr>
            <sz val="8"/>
            <color indexed="81"/>
            <rFont val="Tahoma"/>
            <family val="2"/>
          </rPr>
          <t>-conservative pollutant digester inhibition formula</t>
        </r>
        <r>
          <rPr>
            <sz val="8"/>
            <color indexed="81"/>
            <rFont val="Tahoma"/>
            <family val="2"/>
          </rPr>
          <t>.</t>
        </r>
      </text>
    </comment>
    <comment ref="B56" authorId="0">
      <text>
        <r>
          <rPr>
            <sz val="8"/>
            <color indexed="81"/>
            <rFont val="Tahoma"/>
            <family val="2"/>
          </rPr>
          <t>Literature Values: (As)
N/A - Primary Clarifier</t>
        </r>
        <r>
          <rPr>
            <sz val="8"/>
            <color indexed="81"/>
            <rFont val="Tahoma"/>
            <family val="2"/>
          </rPr>
          <t xml:space="preserve">
</t>
        </r>
      </text>
    </comment>
    <comment ref="D56" authorId="0">
      <text>
        <r>
          <rPr>
            <sz val="8"/>
            <color indexed="81"/>
            <rFont val="Tahoma"/>
            <family val="2"/>
          </rPr>
          <t>Literature Values: (As)
0.1 mg/l - Act. Sludge
1.5 mg/l - Nitrification
0.1 mg/l - Trickling Filter</t>
        </r>
        <r>
          <rPr>
            <sz val="8"/>
            <color indexed="81"/>
            <rFont val="Tahoma"/>
            <family val="2"/>
          </rPr>
          <t xml:space="preserve">
</t>
        </r>
      </text>
    </comment>
    <comment ref="G56" authorId="0">
      <text>
        <r>
          <rPr>
            <sz val="8"/>
            <color indexed="81"/>
            <rFont val="Tahoma"/>
            <family val="2"/>
          </rPr>
          <t>Literature Values: (As)
1.6 mg/l - Anaerobic Digestor</t>
        </r>
        <r>
          <rPr>
            <sz val="8"/>
            <color indexed="81"/>
            <rFont val="Tahoma"/>
            <family val="2"/>
          </rPr>
          <t xml:space="preserve">
</t>
        </r>
      </text>
    </comment>
    <comment ref="B57" authorId="0">
      <text>
        <r>
          <rPr>
            <sz val="8"/>
            <color indexed="81"/>
            <rFont val="Tahoma"/>
            <family val="2"/>
          </rPr>
          <t>Literature Values: (Cd)
15% - Primary Clarifier</t>
        </r>
      </text>
    </comment>
    <comment ref="D57" authorId="0">
      <text>
        <r>
          <rPr>
            <sz val="8"/>
            <color indexed="81"/>
            <rFont val="Tahoma"/>
            <family val="2"/>
          </rPr>
          <t>Literature Values: (Cd)
1 mg/l - Act. Sludge
 5.2 mg/l - Nitrification
 1 mg/l - Trickling Filter</t>
        </r>
      </text>
    </comment>
    <comment ref="G57" authorId="0">
      <text>
        <r>
          <rPr>
            <sz val="8"/>
            <color indexed="81"/>
            <rFont val="Tahoma"/>
            <family val="2"/>
          </rPr>
          <t>Literature Values: (Cd)
20 mg/l - Anaerobic Digestor</t>
        </r>
      </text>
    </comment>
    <comment ref="B58" authorId="0">
      <text>
        <r>
          <rPr>
            <sz val="8"/>
            <color indexed="81"/>
            <rFont val="Tahoma"/>
            <family val="2"/>
          </rPr>
          <t>Literature Values: (Cr)
27% - Primary Clarifier</t>
        </r>
      </text>
    </comment>
    <comment ref="D58" authorId="0">
      <text>
        <r>
          <rPr>
            <sz val="8"/>
            <color indexed="81"/>
            <rFont val="Tahoma"/>
            <family val="2"/>
          </rPr>
          <t>Literature Values: (Cr)
1 mg/l - Act. Sludge
 0.394 mg/l - Nitrification - NC 2006
 3.5 mg/l - Trickling Filter</t>
        </r>
      </text>
    </comment>
    <comment ref="G58" authorId="0">
      <text>
        <r>
          <rPr>
            <sz val="8"/>
            <color indexed="81"/>
            <rFont val="Tahoma"/>
            <family val="2"/>
          </rPr>
          <t>Literature Values: (Cr-III)
130 mg/l - Anaerobic Digestor
Note EPA also has 110 mg/l for Cr VI.  For POTWs with Cr VI as a Pretreatment POC, enter this as a separate pollutant, and then contact PERCS prior to sumitting your HWA to discuss other HWA reivisions.</t>
        </r>
      </text>
    </comment>
    <comment ref="B59" authorId="0">
      <text>
        <r>
          <rPr>
            <sz val="8"/>
            <color indexed="81"/>
            <rFont val="Tahoma"/>
            <family val="2"/>
          </rPr>
          <t>Literature Values: (Cu)
22% - Primary Clarifier</t>
        </r>
        <r>
          <rPr>
            <sz val="8"/>
            <color indexed="81"/>
            <rFont val="Tahoma"/>
            <family val="2"/>
          </rPr>
          <t xml:space="preserve">
</t>
        </r>
      </text>
    </comment>
    <comment ref="D59" authorId="0">
      <text>
        <r>
          <rPr>
            <sz val="8"/>
            <color indexed="81"/>
            <rFont val="Tahoma"/>
            <family val="2"/>
          </rPr>
          <t>Literature Values: (Cu)
1 mg/l - Act. Sludge
0.48 mg/l - Nitrification - NC 2006
1 mg/l - Trickling Filter</t>
        </r>
        <r>
          <rPr>
            <sz val="8"/>
            <color indexed="81"/>
            <rFont val="Tahoma"/>
            <family val="2"/>
          </rPr>
          <t xml:space="preserve">
</t>
        </r>
      </text>
    </comment>
    <comment ref="G59" authorId="0">
      <text>
        <r>
          <rPr>
            <sz val="8"/>
            <color indexed="81"/>
            <rFont val="Tahoma"/>
            <family val="2"/>
          </rPr>
          <t>Literature Values: (Cu)
40 mg/l - Anaerobic Digestor</t>
        </r>
        <r>
          <rPr>
            <sz val="8"/>
            <color indexed="81"/>
            <rFont val="Tahoma"/>
            <family val="2"/>
          </rPr>
          <t xml:space="preserve">
</t>
        </r>
      </text>
    </comment>
    <comment ref="B60" authorId="0">
      <text>
        <r>
          <rPr>
            <sz val="8"/>
            <color indexed="81"/>
            <rFont val="Tahoma"/>
            <family val="2"/>
          </rPr>
          <t>Literature Values: (Cn)
27% - Primary Clarifier</t>
        </r>
        <r>
          <rPr>
            <sz val="8"/>
            <color indexed="81"/>
            <rFont val="Tahoma"/>
            <family val="2"/>
          </rPr>
          <t xml:space="preserve">
</t>
        </r>
      </text>
    </comment>
    <comment ref="D60" authorId="0">
      <text>
        <r>
          <rPr>
            <sz val="8"/>
            <color indexed="81"/>
            <rFont val="Tahoma"/>
            <family val="2"/>
          </rPr>
          <t>Literature Values: (Cn)
0.1 mg/l - Act. Sludge
0.34 mg/l - Nitrification
30 mg/l - Trickling Filter</t>
        </r>
        <r>
          <rPr>
            <sz val="8"/>
            <color indexed="81"/>
            <rFont val="Tahoma"/>
            <family val="2"/>
          </rPr>
          <t xml:space="preserve">
</t>
        </r>
      </text>
    </comment>
    <comment ref="G60" authorId="0">
      <text>
        <r>
          <rPr>
            <sz val="8"/>
            <color indexed="81"/>
            <rFont val="Tahoma"/>
            <family val="2"/>
          </rPr>
          <t>Literature Values: (Cn)
4 mg/l - Anaerobic Digestor</t>
        </r>
        <r>
          <rPr>
            <sz val="8"/>
            <color indexed="81"/>
            <rFont val="Tahoma"/>
            <family val="2"/>
          </rPr>
          <t xml:space="preserve">
</t>
        </r>
      </text>
    </comment>
    <comment ref="B61" authorId="0">
      <text>
        <r>
          <rPr>
            <sz val="8"/>
            <color indexed="81"/>
            <rFont val="Tahoma"/>
            <family val="2"/>
          </rPr>
          <t>Literature Values: (Pb)
57% - Primary Clarifier</t>
        </r>
        <r>
          <rPr>
            <sz val="8"/>
            <color indexed="81"/>
            <rFont val="Tahoma"/>
            <family val="2"/>
          </rPr>
          <t xml:space="preserve">
</t>
        </r>
      </text>
    </comment>
    <comment ref="D61" authorId="0">
      <text>
        <r>
          <rPr>
            <sz val="8"/>
            <color indexed="81"/>
            <rFont val="Tahoma"/>
            <family val="2"/>
          </rPr>
          <t>Literature Values: (Pb)
1.0 mg/l - Act. Sludge
0.5 mg/l - Nitrification
1.0 mg/l - Trickling Filter</t>
        </r>
        <r>
          <rPr>
            <sz val="8"/>
            <color indexed="81"/>
            <rFont val="Tahoma"/>
            <family val="2"/>
          </rPr>
          <t xml:space="preserve">
</t>
        </r>
      </text>
    </comment>
    <comment ref="G61" authorId="0">
      <text>
        <r>
          <rPr>
            <sz val="8"/>
            <color indexed="81"/>
            <rFont val="Tahoma"/>
            <family val="2"/>
          </rPr>
          <t>Literature Values: (Pb)
340 mg/l - Anaerobic Digestor</t>
        </r>
        <r>
          <rPr>
            <sz val="8"/>
            <color indexed="81"/>
            <rFont val="Tahoma"/>
            <family val="2"/>
          </rPr>
          <t xml:space="preserve">
</t>
        </r>
      </text>
    </comment>
    <comment ref="B62" authorId="0">
      <text>
        <r>
          <rPr>
            <sz val="8"/>
            <color indexed="81"/>
            <rFont val="Tahoma"/>
            <family val="2"/>
          </rPr>
          <t>Literature Values: (Hg)
10% - Primary Clarifier</t>
        </r>
        <r>
          <rPr>
            <sz val="8"/>
            <color indexed="81"/>
            <rFont val="Tahoma"/>
            <family val="2"/>
          </rPr>
          <t xml:space="preserve">
</t>
        </r>
      </text>
    </comment>
    <comment ref="D62" authorId="0">
      <text>
        <r>
          <rPr>
            <sz val="8"/>
            <color indexed="81"/>
            <rFont val="Tahoma"/>
            <family val="2"/>
          </rPr>
          <t>Literature Values: (Hg)
0.1 mg/l - Act. Sludge
None Available - Nitrification
0.1 mg/l - Trickling Filter</t>
        </r>
        <r>
          <rPr>
            <sz val="8"/>
            <color indexed="81"/>
            <rFont val="Tahoma"/>
            <family val="2"/>
          </rPr>
          <t xml:space="preserve">
</t>
        </r>
      </text>
    </comment>
    <comment ref="G62" authorId="0">
      <text>
        <r>
          <rPr>
            <sz val="8"/>
            <color indexed="81"/>
            <rFont val="Tahoma"/>
            <family val="2"/>
          </rPr>
          <t>Literature Values: (Hg)
N/A mg/l - Anaerobic Digestor</t>
        </r>
        <r>
          <rPr>
            <sz val="8"/>
            <color indexed="81"/>
            <rFont val="Tahoma"/>
            <family val="2"/>
          </rPr>
          <t xml:space="preserve">
</t>
        </r>
      </text>
    </comment>
    <comment ref="B63" authorId="0">
      <text>
        <r>
          <rPr>
            <sz val="8"/>
            <color indexed="81"/>
            <rFont val="Tahoma"/>
            <family val="2"/>
          </rPr>
          <t>Literature Values: (Mo)
N/A - Primary Clarifier</t>
        </r>
        <r>
          <rPr>
            <sz val="8"/>
            <color indexed="81"/>
            <rFont val="Tahoma"/>
            <family val="2"/>
          </rPr>
          <t xml:space="preserve">
</t>
        </r>
      </text>
    </comment>
    <comment ref="D63" authorId="0">
      <text>
        <r>
          <rPr>
            <sz val="8"/>
            <color indexed="81"/>
            <rFont val="Tahoma"/>
            <family val="2"/>
          </rPr>
          <t>Literature Values: (Mo)
None Available - Act. Sludge
None Available - Nitrification
None Available - Trickling Filter</t>
        </r>
        <r>
          <rPr>
            <sz val="8"/>
            <color indexed="81"/>
            <rFont val="Tahoma"/>
            <family val="2"/>
          </rPr>
          <t xml:space="preserve">
</t>
        </r>
      </text>
    </comment>
    <comment ref="G63" authorId="0">
      <text>
        <r>
          <rPr>
            <sz val="8"/>
            <color indexed="81"/>
            <rFont val="Tahoma"/>
            <family val="2"/>
          </rPr>
          <t>Literature Values: (Mo)
N/A mg/l - Anaerobic Digestorr</t>
        </r>
        <r>
          <rPr>
            <sz val="8"/>
            <color indexed="81"/>
            <rFont val="Tahoma"/>
            <family val="2"/>
          </rPr>
          <t xml:space="preserve">
</t>
        </r>
      </text>
    </comment>
    <comment ref="B64" authorId="0">
      <text>
        <r>
          <rPr>
            <sz val="8"/>
            <color indexed="81"/>
            <rFont val="Tahoma"/>
            <family val="2"/>
          </rPr>
          <t>Literature Values: (Ni)
14% - Primary Clarifier</t>
        </r>
        <r>
          <rPr>
            <sz val="8"/>
            <color indexed="81"/>
            <rFont val="Tahoma"/>
            <family val="2"/>
          </rPr>
          <t xml:space="preserve">
</t>
        </r>
      </text>
    </comment>
    <comment ref="D64" authorId="0">
      <text>
        <r>
          <rPr>
            <sz val="8"/>
            <color indexed="81"/>
            <rFont val="Tahoma"/>
            <family val="2"/>
          </rPr>
          <t>Literature Values: (Ni)
1 mg/l - Act. Sludge
0.25 mg/l - Nitrification
1 mg/l - Trickling Filter</t>
        </r>
        <r>
          <rPr>
            <sz val="8"/>
            <color indexed="81"/>
            <rFont val="Tahoma"/>
            <family val="2"/>
          </rPr>
          <t xml:space="preserve">
</t>
        </r>
      </text>
    </comment>
    <comment ref="G64" authorId="0">
      <text>
        <r>
          <rPr>
            <sz val="8"/>
            <color indexed="81"/>
            <rFont val="Tahoma"/>
            <family val="2"/>
          </rPr>
          <t>Literature Values: (Ni)
10 mg/l - Anaerobic Digestor</t>
        </r>
        <r>
          <rPr>
            <sz val="8"/>
            <color indexed="81"/>
            <rFont val="Tahoma"/>
            <family val="2"/>
          </rPr>
          <t xml:space="preserve">
</t>
        </r>
      </text>
    </comment>
    <comment ref="B65" authorId="0">
      <text>
        <r>
          <rPr>
            <sz val="8"/>
            <color indexed="81"/>
            <rFont val="Tahoma"/>
            <family val="2"/>
          </rPr>
          <t>Literature Values: (Se)
N/A - Primary Clarifier</t>
        </r>
        <r>
          <rPr>
            <sz val="8"/>
            <color indexed="81"/>
            <rFont val="Tahoma"/>
            <family val="2"/>
          </rPr>
          <t xml:space="preserve">
</t>
        </r>
      </text>
    </comment>
    <comment ref="D65" authorId="0">
      <text>
        <r>
          <rPr>
            <sz val="8"/>
            <color indexed="81"/>
            <rFont val="Tahoma"/>
            <family val="2"/>
          </rPr>
          <t>Literature Values: (Se)
None Available - Act. Sludge
None Available - Nitrification
None Available - Trickling Filter</t>
        </r>
        <r>
          <rPr>
            <sz val="8"/>
            <color indexed="81"/>
            <rFont val="Tahoma"/>
            <family val="2"/>
          </rPr>
          <t xml:space="preserve">
</t>
        </r>
      </text>
    </comment>
    <comment ref="G65" authorId="0">
      <text>
        <r>
          <rPr>
            <sz val="8"/>
            <color indexed="81"/>
            <rFont val="Tahoma"/>
            <family val="2"/>
          </rPr>
          <t>Literature Values: (Se)
N/A mg/l - Anaerobic Digestor</t>
        </r>
        <r>
          <rPr>
            <sz val="8"/>
            <color indexed="81"/>
            <rFont val="Tahoma"/>
            <family val="2"/>
          </rPr>
          <t xml:space="preserve">
</t>
        </r>
      </text>
    </comment>
    <comment ref="B66" authorId="0">
      <text>
        <r>
          <rPr>
            <sz val="8"/>
            <color indexed="81"/>
            <rFont val="Tahoma"/>
            <family val="2"/>
          </rPr>
          <t>Literature Values: (Ag)
20% - Primary Clarifier</t>
        </r>
        <r>
          <rPr>
            <sz val="8"/>
            <color indexed="81"/>
            <rFont val="Tahoma"/>
            <family val="2"/>
          </rPr>
          <t xml:space="preserve">
</t>
        </r>
      </text>
    </comment>
    <comment ref="D66" authorId="0">
      <text>
        <r>
          <rPr>
            <sz val="8"/>
            <color indexed="81"/>
            <rFont val="Tahoma"/>
            <family val="2"/>
          </rPr>
          <t>Literature Values: (Ag)
0.25 mg/l - Act. Sludge
None Available - Nitrification
0.25 mg/l - Trickling Filter</t>
        </r>
        <r>
          <rPr>
            <sz val="8"/>
            <color indexed="81"/>
            <rFont val="Tahoma"/>
            <family val="2"/>
          </rPr>
          <t xml:space="preserve">
</t>
        </r>
      </text>
    </comment>
    <comment ref="G66" authorId="0">
      <text>
        <r>
          <rPr>
            <sz val="8"/>
            <color indexed="81"/>
            <rFont val="Tahoma"/>
            <family val="2"/>
          </rPr>
          <t>Literature Values: (Ag)
13 mg/l - Anaerobic Digestor</t>
        </r>
        <r>
          <rPr>
            <sz val="8"/>
            <color indexed="81"/>
            <rFont val="Tahoma"/>
            <family val="2"/>
          </rPr>
          <t xml:space="preserve">
</t>
        </r>
      </text>
    </comment>
    <comment ref="B67" authorId="0">
      <text>
        <r>
          <rPr>
            <sz val="8"/>
            <color indexed="81"/>
            <rFont val="Tahoma"/>
            <family val="2"/>
          </rPr>
          <t>Literature Values: (Zn)
27% - Primary Clarifier</t>
        </r>
        <r>
          <rPr>
            <sz val="8"/>
            <color indexed="81"/>
            <rFont val="Tahoma"/>
            <family val="2"/>
          </rPr>
          <t xml:space="preserve">
</t>
        </r>
      </text>
    </comment>
    <comment ref="D67" authorId="0">
      <text>
        <r>
          <rPr>
            <sz val="8"/>
            <color indexed="81"/>
            <rFont val="Tahoma"/>
            <family val="2"/>
          </rPr>
          <t>Literature Values: (Zn)
1.0 mg/l - Act. Sludge - NC 2006
1.0 mg/l - Nitrification - NC 2006
1.0 mg/l - Trickling Filter</t>
        </r>
        <r>
          <rPr>
            <sz val="8"/>
            <color indexed="81"/>
            <rFont val="Tahoma"/>
            <family val="2"/>
          </rPr>
          <t xml:space="preserve">
</t>
        </r>
      </text>
    </comment>
    <comment ref="G67" authorId="0">
      <text>
        <r>
          <rPr>
            <sz val="8"/>
            <color indexed="81"/>
            <rFont val="Tahoma"/>
            <family val="2"/>
          </rPr>
          <t>Literature Values: (Zn)
400 mg/l - Anaerobic Digestor</t>
        </r>
        <r>
          <rPr>
            <sz val="8"/>
            <color indexed="81"/>
            <rFont val="Tahoma"/>
            <family val="2"/>
          </rPr>
          <t xml:space="preserve">
</t>
        </r>
      </text>
    </comment>
    <comment ref="B79" authorId="1">
      <text>
        <r>
          <rPr>
            <sz val="8"/>
            <color indexed="81"/>
            <rFont val="Tahoma"/>
            <family val="2"/>
          </rPr>
          <t>spreadsheet uses these for all WWTPs that enter sludge flow to disposal in Cell C15</t>
        </r>
      </text>
    </comment>
    <comment ref="D79" authorId="2">
      <text>
        <r>
          <rPr>
            <sz val="8"/>
            <color indexed="81"/>
            <rFont val="Tahoma"/>
            <family val="2"/>
          </rPr>
          <t xml:space="preserve">Spreadsheet will show  and calculate SLudge Ceiling Loading from HASL </t>
        </r>
        <r>
          <rPr>
            <b/>
            <sz val="8"/>
            <color indexed="81"/>
            <rFont val="Tahoma"/>
            <family val="2"/>
          </rPr>
          <t>only if</t>
        </r>
        <r>
          <rPr>
            <sz val="8"/>
            <color indexed="81"/>
            <rFont val="Tahoma"/>
            <family val="2"/>
          </rPr>
          <t xml:space="preserve"> input "X" for HASL calc in MAIL calc table below.</t>
        </r>
        <r>
          <rPr>
            <sz val="8"/>
            <color indexed="81"/>
            <rFont val="Tahoma"/>
            <family val="2"/>
          </rPr>
          <t xml:space="preserve">
</t>
        </r>
      </text>
    </comment>
    <comment ref="E79" authorId="1">
      <text>
        <r>
          <rPr>
            <sz val="8"/>
            <color indexed="81"/>
            <rFont val="Tahoma"/>
            <family val="2"/>
          </rPr>
          <t xml:space="preserve">Spreadsheet uses these </t>
        </r>
        <r>
          <rPr>
            <b/>
            <sz val="8"/>
            <color indexed="81"/>
            <rFont val="Tahoma"/>
            <family val="2"/>
          </rPr>
          <t>only if</t>
        </r>
        <r>
          <rPr>
            <sz val="8"/>
            <color indexed="81"/>
            <rFont val="Tahoma"/>
            <family val="2"/>
          </rPr>
          <t xml:space="preserve"> enter number of acres in Cell C18, </t>
        </r>
        <r>
          <rPr>
            <b/>
            <sz val="8"/>
            <color indexed="81"/>
            <rFont val="Tahoma"/>
            <family val="2"/>
          </rPr>
          <t>and</t>
        </r>
        <r>
          <rPr>
            <sz val="8"/>
            <color indexed="81"/>
            <rFont val="Tahoma"/>
            <family val="2"/>
          </rPr>
          <t xml:space="preserve"> do not enter "A" in Cell C13.</t>
        </r>
      </text>
    </comment>
    <comment ref="F79" authorId="2">
      <text>
        <r>
          <rPr>
            <sz val="8"/>
            <color indexed="81"/>
            <rFont val="Tahoma"/>
            <family val="2"/>
          </rPr>
          <t xml:space="preserve">Spreadsheet will show  and calculate Cumulative Sludge Loading </t>
        </r>
        <r>
          <rPr>
            <b/>
            <sz val="8"/>
            <color indexed="81"/>
            <rFont val="Tahoma"/>
            <family val="2"/>
          </rPr>
          <t xml:space="preserve">only if </t>
        </r>
        <r>
          <rPr>
            <sz val="8"/>
            <color indexed="81"/>
            <rFont val="Tahoma"/>
            <family val="2"/>
          </rPr>
          <t xml:space="preserve">input Class "B" in cell C13, </t>
        </r>
        <r>
          <rPr>
            <b/>
            <sz val="8"/>
            <color indexed="81"/>
            <rFont val="Tahoma"/>
            <family val="2"/>
          </rPr>
          <t>and</t>
        </r>
        <r>
          <rPr>
            <sz val="8"/>
            <color indexed="81"/>
            <rFont val="Tahoma"/>
            <family val="2"/>
          </rPr>
          <t xml:space="preserve"> HASL calc are not indicated in MAIL calc table below.</t>
        </r>
        <r>
          <rPr>
            <sz val="8"/>
            <color indexed="81"/>
            <rFont val="Tahoma"/>
            <family val="2"/>
          </rPr>
          <t xml:space="preserve">
</t>
        </r>
      </text>
    </comment>
    <comment ref="G79" authorId="1">
      <text>
        <r>
          <rPr>
            <sz val="8"/>
            <color indexed="81"/>
            <rFont val="Tahoma"/>
            <family val="2"/>
          </rPr>
          <t xml:space="preserve">Spreadsheet will show Class A stds. and calculate loadings </t>
        </r>
        <r>
          <rPr>
            <b/>
            <sz val="8"/>
            <color indexed="81"/>
            <rFont val="Tahoma"/>
            <family val="2"/>
          </rPr>
          <t>only if</t>
        </r>
        <r>
          <rPr>
            <sz val="8"/>
            <color indexed="81"/>
            <rFont val="Tahoma"/>
            <family val="2"/>
          </rPr>
          <t xml:space="preserve"> input Class "A" in cell C13.</t>
        </r>
      </text>
    </comment>
    <comment ref="H79" authorId="2">
      <text>
        <r>
          <rPr>
            <sz val="8"/>
            <color indexed="81"/>
            <rFont val="Tahoma"/>
            <family val="2"/>
          </rPr>
          <t xml:space="preserve">Spreadsheet will show  and calculate Class A monthly average loading </t>
        </r>
        <r>
          <rPr>
            <b/>
            <sz val="8"/>
            <color indexed="81"/>
            <rFont val="Tahoma"/>
            <family val="2"/>
          </rPr>
          <t>only if</t>
        </r>
        <r>
          <rPr>
            <sz val="8"/>
            <color indexed="81"/>
            <rFont val="Tahoma"/>
            <family val="2"/>
          </rPr>
          <t xml:space="preserve"> user inputs Class "A" in cell C13.</t>
        </r>
        <r>
          <rPr>
            <sz val="8"/>
            <color indexed="81"/>
            <rFont val="Tahoma"/>
            <family val="2"/>
          </rPr>
          <t xml:space="preserve">
</t>
        </r>
      </text>
    </comment>
    <comment ref="I79" authorId="1">
      <text>
        <r>
          <rPr>
            <sz val="8"/>
            <color indexed="81"/>
            <rFont val="Tahoma"/>
            <family val="2"/>
          </rPr>
          <t xml:space="preserve">Spreadsheet will show  and calculate Class A Loading from HASL </t>
        </r>
        <r>
          <rPr>
            <b/>
            <sz val="8"/>
            <color indexed="81"/>
            <rFont val="Tahoma"/>
            <family val="2"/>
          </rPr>
          <t>only if</t>
        </r>
        <r>
          <rPr>
            <sz val="8"/>
            <color indexed="81"/>
            <rFont val="Tahoma"/>
            <family val="2"/>
          </rPr>
          <t xml:space="preserve"> user input Class "A" in cell C13, </t>
        </r>
        <r>
          <rPr>
            <b/>
            <sz val="8"/>
            <color indexed="81"/>
            <rFont val="Tahoma"/>
            <family val="2"/>
          </rPr>
          <t>and</t>
        </r>
        <r>
          <rPr>
            <sz val="8"/>
            <color indexed="81"/>
            <rFont val="Tahoma"/>
            <family val="2"/>
          </rPr>
          <t xml:space="preserve"> "X" for HASL calc in MAIL calc table below.
</t>
        </r>
      </text>
    </comment>
    <comment ref="D134" authorId="1">
      <text>
        <r>
          <rPr>
            <b/>
            <sz val="8"/>
            <color indexed="81"/>
            <rFont val="Tahoma"/>
            <family val="2"/>
          </rPr>
          <t>HASL Worksheet can be used to resolve over allocation when Sludge loading criteria is  limiting the MAHL 
Insert "x" only if
1) MAHL is based on sludge criteria 
and
2) Over allocation is occurring in allocation table.</t>
        </r>
      </text>
    </comment>
    <comment ref="E134" authorId="0">
      <text>
        <r>
          <rPr>
            <sz val="8"/>
            <color indexed="81"/>
            <rFont val="Tahoma"/>
            <family val="2"/>
          </rPr>
          <t>From PERCS:
Uncontrollable Concentration and Source can be determined using "siu.unc.mass.balance" spreadsheet available on PERCS web-site and from PERCS Unit</t>
        </r>
      </text>
    </comment>
    <comment ref="F134" authorId="0">
      <text>
        <r>
          <rPr>
            <sz val="8"/>
            <color indexed="81"/>
            <rFont val="Tahoma"/>
            <family val="2"/>
          </rPr>
          <t>From PERCS:
Uncontrollable Concentration and Source can be determined using "siu.unc.mass.balance" spreadsheet available on PERCS web-site and from PERCS Unit</t>
        </r>
      </text>
    </comment>
    <comment ref="I134" authorId="1">
      <text>
        <r>
          <rPr>
            <b/>
            <sz val="8"/>
            <color indexed="81"/>
            <rFont val="Tahoma"/>
            <family val="2"/>
          </rPr>
          <t>From PERCS:  If warning shows, Pass Through results in an MAHL greater then the Design criteria.  Consider using Design MAHL instead - see Cells E17 - J20.</t>
        </r>
      </text>
    </comment>
    <comment ref="D138" authorId="0">
      <text>
        <r>
          <rPr>
            <sz val="8"/>
            <color indexed="81"/>
            <rFont val="Tahoma"/>
            <family val="2"/>
          </rPr>
          <t>Insert "x"</t>
        </r>
        <r>
          <rPr>
            <b/>
            <sz val="8"/>
            <color indexed="81"/>
            <rFont val="Tahoma"/>
            <family val="2"/>
          </rPr>
          <t xml:space="preserve"> 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39" authorId="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40" authorId="0">
      <text>
        <r>
          <rPr>
            <sz val="8"/>
            <color indexed="81"/>
            <rFont val="Tahoma"/>
            <family val="2"/>
          </rPr>
          <t>No HASL Calculation Available</t>
        </r>
        <r>
          <rPr>
            <sz val="8"/>
            <color indexed="81"/>
            <rFont val="Tahoma"/>
            <family val="2"/>
          </rPr>
          <t xml:space="preserve">
</t>
        </r>
      </text>
    </comment>
    <comment ref="D141" authorId="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42" authorId="0">
      <text>
        <r>
          <rPr>
            <sz val="8"/>
            <color indexed="81"/>
            <rFont val="Tahoma"/>
            <family val="2"/>
          </rPr>
          <t>No HASL Calculation Available</t>
        </r>
        <r>
          <rPr>
            <sz val="8"/>
            <color indexed="81"/>
            <rFont val="Tahoma"/>
            <family val="2"/>
          </rPr>
          <t xml:space="preserve">
</t>
        </r>
      </text>
    </comment>
    <comment ref="D143" authorId="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4" authorId="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5" authorId="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46" authorId="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7" authorId="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8" authorId="0">
      <text>
        <r>
          <rPr>
            <sz val="8"/>
            <color indexed="81"/>
            <rFont val="Tahoma"/>
            <family val="2"/>
          </rPr>
          <t>No HASL Calculation Available</t>
        </r>
        <r>
          <rPr>
            <sz val="8"/>
            <color indexed="81"/>
            <rFont val="Tahoma"/>
            <family val="2"/>
          </rPr>
          <t xml:space="preserve">
</t>
        </r>
      </text>
    </comment>
    <comment ref="D149" authorId="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List>
</comments>
</file>

<file path=xl/comments2.xml><?xml version="1.0" encoding="utf-8"?>
<comments xmlns="http://schemas.openxmlformats.org/spreadsheetml/2006/main">
  <authors>
    <author>Jon_Risgaard</author>
    <author>Dana_Folley</author>
    <author>Jon Risgaard</author>
  </authors>
  <commentList>
    <comment ref="C15" authorId="0">
      <text>
        <r>
          <rPr>
            <b/>
            <sz val="9"/>
            <color indexed="81"/>
            <rFont val="Tahoma"/>
            <family val="2"/>
          </rPr>
          <t>Only Required if facility land applies sludge.
In Pretreatment, the "most heavily loaded field" means the field with the most lbs/acre for a given metal, and is chosen on a "per parameter" basis.</t>
        </r>
      </text>
    </comment>
    <comment ref="G15" authorId="1">
      <text>
        <r>
          <rPr>
            <b/>
            <sz val="9"/>
            <color indexed="81"/>
            <rFont val="Tahoma"/>
            <family val="2"/>
          </rPr>
          <t>Spreadsheet will automatically insert correct limits based on Cell C13 in HWA worksheet</t>
        </r>
      </text>
    </comment>
    <comment ref="H15" authorId="2">
      <text>
        <r>
          <rPr>
            <b/>
            <sz val="10"/>
            <color indexed="81"/>
            <rFont val="Tahoma"/>
            <family val="2"/>
          </rPr>
          <t>For Class A sludge, you many use maximum monthly average value here!</t>
        </r>
      </text>
    </comment>
    <comment ref="M15" authorId="1">
      <text>
        <r>
          <rPr>
            <b/>
            <sz val="9"/>
            <color indexed="81"/>
            <rFont val="Tahoma"/>
            <family val="2"/>
          </rPr>
          <t>Enter Avergae Influent values from Removal Rate Spreadsheet</t>
        </r>
      </text>
    </comment>
  </commentList>
</comments>
</file>

<file path=xl/sharedStrings.xml><?xml version="1.0" encoding="utf-8"?>
<sst xmlns="http://schemas.openxmlformats.org/spreadsheetml/2006/main" count="335" uniqueCount="187">
  <si>
    <t xml:space="preserve">Headworks Analysis Spreadsheet </t>
  </si>
  <si>
    <t>POTW Name:</t>
  </si>
  <si>
    <t>Date:</t>
  </si>
  <si>
    <t>7Q10 Stream Flow(MGD)=</t>
  </si>
  <si>
    <t>Sludge to Digestor Flow(MGD)=</t>
  </si>
  <si>
    <t>Sludge to Disposal Flow(MGD)=</t>
  </si>
  <si>
    <t>%Solids to Disposal=</t>
  </si>
  <si>
    <t>Sludge Site Area(acres)=</t>
  </si>
  <si>
    <t>Sludge Site Life(yrs)=</t>
  </si>
  <si>
    <t>Age of Sludge Site(yrs)=</t>
  </si>
  <si>
    <t>Pass-Through Loading Calculations</t>
  </si>
  <si>
    <t>NPDES</t>
  </si>
  <si>
    <t>Pollutant</t>
  </si>
  <si>
    <t>BOD</t>
  </si>
  <si>
    <t>TSS</t>
  </si>
  <si>
    <t>Ammonia</t>
  </si>
  <si>
    <t>Arsenic</t>
  </si>
  <si>
    <t>Cadmium</t>
  </si>
  <si>
    <t>Chromium</t>
  </si>
  <si>
    <t>Copper</t>
  </si>
  <si>
    <t>Cyanide</t>
  </si>
  <si>
    <t>Lead</t>
  </si>
  <si>
    <t>Mercury</t>
  </si>
  <si>
    <t>Molybdenum</t>
  </si>
  <si>
    <t>Nickel</t>
  </si>
  <si>
    <t>Selenium</t>
  </si>
  <si>
    <t>Silver</t>
  </si>
  <si>
    <t>Zinc</t>
  </si>
  <si>
    <t>Inhibition Loading Calculations</t>
  </si>
  <si>
    <t>Conc.</t>
  </si>
  <si>
    <t>Sludge Loading Calculations</t>
  </si>
  <si>
    <t>Maximum Allowable Headworks Loading Calculations</t>
  </si>
  <si>
    <t>Maximum Allowable Industrial Loadings Calculations</t>
  </si>
  <si>
    <t>Load</t>
  </si>
  <si>
    <t>Allocation Table</t>
  </si>
  <si>
    <t>Headworks last approved:</t>
  </si>
  <si>
    <t>Allocation Table updated:</t>
  </si>
  <si>
    <t>Permits last  modified:</t>
  </si>
  <si>
    <t>FLOW</t>
  </si>
  <si>
    <t>Industry</t>
  </si>
  <si>
    <t>Type</t>
  </si>
  <si>
    <t>Modification</t>
  </si>
  <si>
    <t>Date</t>
  </si>
  <si>
    <t>Permit Limits</t>
  </si>
  <si>
    <t>IUP</t>
  </si>
  <si>
    <t>of</t>
  </si>
  <si>
    <t>Effective</t>
  </si>
  <si>
    <t>Permit</t>
  </si>
  <si>
    <t>Count</t>
  </si>
  <si>
    <t>(please list alphabeticly)</t>
  </si>
  <si>
    <t>number</t>
  </si>
  <si>
    <t>Expires</t>
  </si>
  <si>
    <t>MGD</t>
  </si>
  <si>
    <t>gal/day</t>
  </si>
  <si>
    <t>mg/l</t>
  </si>
  <si>
    <t>lbs/day</t>
  </si>
  <si>
    <t>Column Totals =&gt;</t>
  </si>
  <si>
    <t>MAHL from HWA (lbs/day) =&gt;</t>
  </si>
  <si>
    <t>Uncontrollable Loading (lbs/day) =&gt;</t>
  </si>
  <si>
    <t>Total Permitted to Industry (lbs/day) =&gt;</t>
  </si>
  <si>
    <t>Percent MAHL still available (%) =&gt;</t>
  </si>
  <si>
    <t>5 Percent MAHL (lbs/day) =&gt;</t>
  </si>
  <si>
    <t>Basis=&gt;</t>
  </si>
  <si>
    <t>c</t>
  </si>
  <si>
    <t>d</t>
  </si>
  <si>
    <t>e</t>
  </si>
  <si>
    <t>f</t>
  </si>
  <si>
    <t>g</t>
  </si>
  <si>
    <t>h</t>
  </si>
  <si>
    <t>I</t>
  </si>
  <si>
    <t>NPDES#=&gt;</t>
  </si>
  <si>
    <t>POTW=&gt;</t>
  </si>
  <si>
    <t>INDUSTRY NAMES</t>
  </si>
  <si>
    <t>NPDES Permitted Flow=&gt;</t>
  </si>
  <si>
    <t>Uncontrollable Flow(MGD)=</t>
  </si>
  <si>
    <t>POTW Average Flow(MGD)=</t>
  </si>
  <si>
    <t>POTW NPDES Permitted Flow(MGD)=</t>
  </si>
  <si>
    <t>&lt;=used in AT only</t>
  </si>
  <si>
    <t>&lt;=used in HWA calculations</t>
  </si>
  <si>
    <t>only enter when have ANAEROBIC digester</t>
  </si>
  <si>
    <t>Class of Sludge generated (A, or B)</t>
  </si>
  <si>
    <t>Headworks Addendum for Sludge Loadings (HASL) worksheet</t>
  </si>
  <si>
    <t>POTW Name =&gt;</t>
  </si>
  <si>
    <t>POTW NPDES # =&gt;</t>
  </si>
  <si>
    <t>MAHL_sv =</t>
  </si>
  <si>
    <t>(Q_potw * C_inf * 8.34) / ( %_adj ) lbs/day</t>
  </si>
  <si>
    <t>POTW Sludge Permit # =&gt;</t>
  </si>
  <si>
    <t>Date =&gt;</t>
  </si>
  <si>
    <t>Q_potw =</t>
  </si>
  <si>
    <t>Average POTW flow (mgd)</t>
  </si>
  <si>
    <t>POTW Average Flow =&gt;</t>
  </si>
  <si>
    <t xml:space="preserve"> mgd</t>
  </si>
  <si>
    <t>C_inf =</t>
  </si>
  <si>
    <t>Average influent concentration (mgd)</t>
  </si>
  <si>
    <t>Avg. sludge flow to Disposal =&gt;</t>
  </si>
  <si>
    <t>%_adj =</t>
  </si>
  <si>
    <t>Per percentage of Sludge Limit as decimal</t>
  </si>
  <si>
    <t>Average % Solids to Disposal =&gt;</t>
  </si>
  <si>
    <t xml:space="preserve"> %</t>
  </si>
  <si>
    <t xml:space="preserve">    (example: enter 117% as 1.17)</t>
  </si>
  <si>
    <t>Sludge Site Area permitted =&gt;</t>
  </si>
  <si>
    <t xml:space="preserve"> acres</t>
  </si>
  <si>
    <t>8.34 =</t>
  </si>
  <si>
    <t>Conversion Factor</t>
  </si>
  <si>
    <t>POLLUTANT</t>
  </si>
  <si>
    <t>CUMULATIVE SLUDGE LOADING LIMITS</t>
  </si>
  <si>
    <t>% of Cumulative Limit</t>
  </si>
  <si>
    <t>Flag if Greater than 80%</t>
  </si>
  <si>
    <t>Enter actual MAXIMUM SLUDGE CONC. from most recent Sludge Report or LTMP Data</t>
  </si>
  <si>
    <t>Flag if &gt; 100% of the Limit</t>
  </si>
  <si>
    <t>Enter Average POTW Influent Conc.</t>
  </si>
  <si>
    <t>Calculate MAHL_sv based on % of Monthly Average Concentration Limits to Protect Sludge Quality (insert these values into HWA)</t>
  </si>
  <si>
    <t>lbs/acre</t>
  </si>
  <si>
    <t>mg/dry kg</t>
  </si>
  <si>
    <t>%</t>
  </si>
  <si>
    <t>Flag</t>
  </si>
  <si>
    <t>IF Greater than 80% Flag POTW MUST SUBMIT LAND APP &amp; METALS MANAGEMENT PLAN</t>
  </si>
  <si>
    <t>If over ceiling conc. POTW must reduce MAHL</t>
  </si>
  <si>
    <r>
      <t>Average Anaerobic Digester NH</t>
    </r>
    <r>
      <rPr>
        <vertAlign val="subscript"/>
        <sz val="10"/>
        <color indexed="8"/>
        <rFont val="Tms Rmn"/>
      </rPr>
      <t>3</t>
    </r>
    <r>
      <rPr>
        <sz val="10"/>
        <color indexed="8"/>
        <rFont val="Tms Rmn"/>
      </rPr>
      <t xml:space="preserve"> (mg/l) </t>
    </r>
  </si>
  <si>
    <t>N/A</t>
  </si>
  <si>
    <t>Total Phos.</t>
  </si>
  <si>
    <t>Total Nitrogen</t>
  </si>
  <si>
    <t xml:space="preserve">Pipe </t>
  </si>
  <si>
    <t>Renewal</t>
  </si>
  <si>
    <t>NPDES LIMIT (mg/l)</t>
  </si>
  <si>
    <t>Removal rate Source</t>
  </si>
  <si>
    <t>NPDES Loading (lbs/day)</t>
  </si>
  <si>
    <t>Stream Standard Source</t>
  </si>
  <si>
    <t>Stream Standard Loading (lbs/day)</t>
  </si>
  <si>
    <t>Design Criteria Loading (lbs/day)</t>
  </si>
  <si>
    <t>Minimum Pass-Thru Loading (lbs/day)</t>
  </si>
  <si>
    <t>Minimum Pass-Thru Basis</t>
  </si>
  <si>
    <t>A.S./Nit,/T.F. Inhibition Loading (lbs/day)</t>
  </si>
  <si>
    <t>Digestor Inhibition Loading (lbs/day)</t>
  </si>
  <si>
    <t>Minimum Inhibition Loading (lbs/day)</t>
  </si>
  <si>
    <t>Minimum Inhibition Loading Source</t>
  </si>
  <si>
    <t>Class A Limits Monthly Avg. Loading (lbs/day)</t>
  </si>
  <si>
    <t>Class A Limits Mon. Avg. Load.    - HASL Calc. -(lbs/day)</t>
  </si>
  <si>
    <t>Minimum Sludge Loading (lbs/day)</t>
  </si>
  <si>
    <t>Minimum Sludge Loading Sorce</t>
  </si>
  <si>
    <t>Cumulative Sludge Loading      (lbs/day)</t>
  </si>
  <si>
    <t>Minimum Inhibition Loading  Source</t>
  </si>
  <si>
    <t>Minimum Sludge Loading     Sorce</t>
  </si>
  <si>
    <t>Maximum Allowable Headworks Loading (lbs/day)</t>
  </si>
  <si>
    <t>Maximum Allowable Headworks Loading Source</t>
  </si>
  <si>
    <t>Uncontrollable Source</t>
  </si>
  <si>
    <t>Uncontrollable Load (lbs/day)</t>
  </si>
  <si>
    <t>Maximum Allowable Industrial Load (lbs/day)</t>
  </si>
  <si>
    <t>Stream Standard   (mg/l)</t>
  </si>
  <si>
    <t>Primary       Removal Rate                     (%)</t>
  </si>
  <si>
    <t>Primary    Removal Rate Source</t>
  </si>
  <si>
    <t>Sludge Ceiling Load                           - HASL Calc. -(lbs/day)</t>
  </si>
  <si>
    <r>
      <t xml:space="preserve">Check to Use HASL Calcs         </t>
    </r>
    <r>
      <rPr>
        <b/>
        <sz val="10"/>
        <rFont val="Tms Rmn"/>
      </rPr>
      <t>(x)</t>
    </r>
  </si>
  <si>
    <t>MAHL Basis</t>
  </si>
  <si>
    <t>Design Values</t>
  </si>
  <si>
    <t xml:space="preserve">WWTF Influent BOD (mg/l) </t>
  </si>
  <si>
    <t xml:space="preserve">WWTF Influent TSS (mg/l) </t>
  </si>
  <si>
    <r>
      <t>WWTF Influent NH</t>
    </r>
    <r>
      <rPr>
        <vertAlign val="subscript"/>
        <sz val="10"/>
        <color indexed="8"/>
        <rFont val="Tms Rmn"/>
      </rPr>
      <t>3</t>
    </r>
    <r>
      <rPr>
        <sz val="10"/>
        <color indexed="8"/>
        <rFont val="Tms Rmn"/>
      </rPr>
      <t xml:space="preserve"> (mg/l) </t>
    </r>
  </si>
  <si>
    <t xml:space="preserve">WWTF Influent Total N(mg/l) </t>
  </si>
  <si>
    <t xml:space="preserve">WWTF Influent Total P (mg/l) </t>
  </si>
  <si>
    <t>Uncontrollable Concentration (mg/l)</t>
  </si>
  <si>
    <t>Total Allowable for Industry (MAIL) (lbs/day) =&gt;</t>
  </si>
  <si>
    <t>MAIL left (lbs/day) =&gt;</t>
  </si>
  <si>
    <t>Percent Allow. Ind. (MAIL) still available (%) =&gt;</t>
  </si>
  <si>
    <r>
      <t>Enter actual CUMULATIVE LOADING data from most recent Sludge Report for the most heavily loaded field</t>
    </r>
    <r>
      <rPr>
        <vertAlign val="superscript"/>
        <sz val="10"/>
        <rFont val="Geneva"/>
      </rPr>
      <t>1</t>
    </r>
  </si>
  <si>
    <t xml:space="preserve">Stream Classification = </t>
  </si>
  <si>
    <t>A.S./Nit,/T.F. Inhibition Concentration (mg/l)</t>
  </si>
  <si>
    <t>A.S./Nit,/T.F. Inhibition Concentration Source</t>
  </si>
  <si>
    <t>Digestor Inhibition Concentration (mg/l)</t>
  </si>
  <si>
    <t>Digestor Inhibition Conc. Source</t>
  </si>
  <si>
    <t>Plant Removal Rate (%)</t>
  </si>
  <si>
    <t>Average Flow</t>
  </si>
  <si>
    <t>Influent Concentration Based on Pass Through calc. for different POTW flows</t>
  </si>
  <si>
    <t>Input "x" to use Design Criteria Loading</t>
  </si>
  <si>
    <t>Minimum Pass Through Loading (lbs/day)</t>
  </si>
  <si>
    <t>Pass Through Source</t>
  </si>
  <si>
    <t>Design vs. Pass-Thru Warning</t>
  </si>
  <si>
    <t>Sludge Ceiling Load          (lbs/day)</t>
  </si>
  <si>
    <t>Sludge Ceiling Concentration Limit (mg/kg)</t>
  </si>
  <si>
    <t>Cumulative Sludge Rate Limit (lbs/(acre*life))</t>
  </si>
  <si>
    <t>Class A Limits Monthly Average Rate Limit (mg/kg)</t>
  </si>
  <si>
    <t>If Greater than 80% of the concentration limit POTW MUST SUBMIT METALS MANAGEMENT PLAN</t>
  </si>
  <si>
    <t>% of Applicable Ceiling Conc. Limit</t>
  </si>
  <si>
    <t>Flag if &gt; 80% of Applicable Ceiling Conc. Limit</t>
  </si>
  <si>
    <r>
      <t xml:space="preserve">1 </t>
    </r>
    <r>
      <rPr>
        <sz val="11"/>
        <rFont val="Geneva"/>
      </rPr>
      <t xml:space="preserve">The most heavily loaded field is determined for each polluntant indivisually, and is the field that contains the highest amount (lbs/acre) of that polluntant. </t>
    </r>
  </si>
  <si>
    <r>
      <t>Average Influent  NH</t>
    </r>
    <r>
      <rPr>
        <vertAlign val="subscript"/>
        <sz val="10"/>
        <color indexed="8"/>
        <rFont val="Tms Rmn"/>
      </rPr>
      <t>3</t>
    </r>
    <r>
      <rPr>
        <sz val="10"/>
        <color indexed="8"/>
        <rFont val="Tms Rmn"/>
      </rPr>
      <t xml:space="preserve"> (mg/l) </t>
    </r>
  </si>
  <si>
    <t>Permitted Flow</t>
  </si>
</sst>
</file>

<file path=xl/styles.xml><?xml version="1.0" encoding="utf-8"?>
<styleSheet xmlns="http://schemas.openxmlformats.org/spreadsheetml/2006/main">
  <numFmts count="12">
    <numFmt numFmtId="164" formatCode="0.0000"/>
    <numFmt numFmtId="165" formatCode="0.000000"/>
    <numFmt numFmtId="166" formatCode="0.00000"/>
    <numFmt numFmtId="167" formatCode="0.000"/>
    <numFmt numFmtId="168" formatCode="0.0"/>
    <numFmt numFmtId="169" formatCode="0000"/>
    <numFmt numFmtId="170" formatCode="0.0\ &quot;%&quot;"/>
    <numFmt numFmtId="171" formatCode="#,##0.0000"/>
    <numFmt numFmtId="172" formatCode="&quot;NPDES #&quot;\ 00"/>
    <numFmt numFmtId="173" formatCode="0.00\ \ %"/>
    <numFmt numFmtId="174" formatCode="0.0\ \ %"/>
    <numFmt numFmtId="175" formatCode="mm/dd/yy"/>
  </numFmts>
  <fonts count="32">
    <font>
      <sz val="10"/>
      <name val="Geneva"/>
    </font>
    <font>
      <sz val="10"/>
      <name val="Geneva"/>
    </font>
    <font>
      <sz val="10"/>
      <color indexed="18"/>
      <name val="Geneva"/>
    </font>
    <font>
      <sz val="10"/>
      <color indexed="16"/>
      <name val="Geneva"/>
    </font>
    <font>
      <sz val="10"/>
      <name val="Tms Rmn"/>
    </font>
    <font>
      <b/>
      <sz val="10"/>
      <name val="Tms Rmn"/>
    </font>
    <font>
      <sz val="10"/>
      <color indexed="8"/>
      <name val="Tms Rmn"/>
    </font>
    <font>
      <sz val="10"/>
      <color indexed="18"/>
      <name val="Tms Rmn"/>
    </font>
    <font>
      <b/>
      <sz val="10"/>
      <color indexed="16"/>
      <name val="Tms Rmn"/>
    </font>
    <font>
      <b/>
      <sz val="12"/>
      <name val="Tms Rmn"/>
    </font>
    <font>
      <sz val="6"/>
      <name val="Tms Rmn"/>
    </font>
    <font>
      <sz val="8"/>
      <name val="Geneva"/>
    </font>
    <font>
      <sz val="6"/>
      <name val="Geneva"/>
    </font>
    <font>
      <sz val="8"/>
      <name val="Tms Rmn"/>
    </font>
    <font>
      <sz val="9"/>
      <name val="Geneva"/>
    </font>
    <font>
      <sz val="9"/>
      <name val="Tms Rmn"/>
    </font>
    <font>
      <sz val="9"/>
      <color indexed="8"/>
      <name val="Tms Rmn"/>
    </font>
    <font>
      <sz val="8"/>
      <color indexed="81"/>
      <name val="Tahoma"/>
      <family val="2"/>
    </font>
    <font>
      <b/>
      <sz val="8"/>
      <color indexed="81"/>
      <name val="Tahoma"/>
      <family val="2"/>
    </font>
    <font>
      <b/>
      <sz val="9"/>
      <name val="Tms Rmn"/>
    </font>
    <font>
      <b/>
      <sz val="14"/>
      <name val="Tms Rmn"/>
    </font>
    <font>
      <b/>
      <sz val="20"/>
      <name val="Tms Rmn"/>
    </font>
    <font>
      <sz val="10"/>
      <color indexed="10"/>
      <name val="Tms Rmn"/>
    </font>
    <font>
      <vertAlign val="subscript"/>
      <sz val="10"/>
      <color indexed="8"/>
      <name val="Tms Rmn"/>
    </font>
    <font>
      <b/>
      <sz val="10"/>
      <color indexed="10"/>
      <name val="Tms Rmn"/>
    </font>
    <font>
      <vertAlign val="superscript"/>
      <sz val="10"/>
      <name val="Geneva"/>
    </font>
    <font>
      <sz val="10"/>
      <name val="TimesNewRomanPS"/>
    </font>
    <font>
      <u/>
      <sz val="8"/>
      <color indexed="81"/>
      <name val="Tahoma"/>
      <family val="2"/>
    </font>
    <font>
      <b/>
      <sz val="9"/>
      <color indexed="81"/>
      <name val="Tahoma"/>
      <family val="2"/>
    </font>
    <font>
      <b/>
      <sz val="10"/>
      <color indexed="81"/>
      <name val="Tahoma"/>
      <family val="2"/>
    </font>
    <font>
      <vertAlign val="superscript"/>
      <sz val="11"/>
      <name val="Geneva"/>
    </font>
    <font>
      <sz val="11"/>
      <name val="Geneva"/>
    </font>
  </fonts>
  <fills count="6">
    <fill>
      <patternFill patternType="none"/>
    </fill>
    <fill>
      <patternFill patternType="gray125"/>
    </fill>
    <fill>
      <patternFill patternType="gray125">
        <fgColor indexed="10"/>
      </patternFill>
    </fill>
    <fill>
      <patternFill patternType="solid">
        <fgColor indexed="9"/>
        <bgColor indexed="9"/>
      </patternFill>
    </fill>
    <fill>
      <patternFill patternType="solid">
        <fgColor indexed="11"/>
        <bgColor indexed="9"/>
      </patternFill>
    </fill>
    <fill>
      <patternFill patternType="solid">
        <fgColor indexed="1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ck">
        <color indexed="12"/>
      </left>
      <right style="thick">
        <color indexed="12"/>
      </right>
      <top style="thick">
        <color indexed="12"/>
      </top>
      <bottom style="thick">
        <color indexed="12"/>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double">
        <color indexed="64"/>
      </bottom>
      <diagonal/>
    </border>
    <border>
      <left/>
      <right/>
      <top/>
      <bottom style="double">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right/>
      <top style="thick">
        <color indexed="12"/>
      </top>
      <bottom/>
      <diagonal/>
    </border>
    <border>
      <left style="thick">
        <color indexed="12"/>
      </left>
      <right style="thick">
        <color indexed="12"/>
      </right>
      <top style="double">
        <color indexed="12"/>
      </top>
      <bottom style="thick">
        <color indexed="12"/>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ck">
        <color indexed="12"/>
      </top>
      <bottom style="thick">
        <color indexed="1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8"/>
      </left>
      <right style="thick">
        <color indexed="12"/>
      </right>
      <top style="thick">
        <color indexed="12"/>
      </top>
      <bottom style="thick">
        <color indexed="1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8"/>
      </left>
      <right style="thick">
        <color indexed="12"/>
      </right>
      <top style="thin">
        <color indexed="8"/>
      </top>
      <bottom style="thin">
        <color indexed="8"/>
      </bottom>
      <diagonal/>
    </border>
    <border>
      <left style="thin">
        <color indexed="8"/>
      </left>
      <right style="thick">
        <color indexed="12"/>
      </right>
      <top style="thin">
        <color indexed="8"/>
      </top>
      <bottom style="thick">
        <color indexed="12"/>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12"/>
      </left>
      <right style="thick">
        <color indexed="12"/>
      </right>
      <top/>
      <bottom style="thick">
        <color indexed="12"/>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12"/>
      </right>
      <top style="thin">
        <color indexed="64"/>
      </top>
      <bottom style="thin">
        <color indexed="64"/>
      </bottom>
      <diagonal/>
    </border>
    <border>
      <left style="thin">
        <color indexed="64"/>
      </left>
      <right style="thick">
        <color indexed="12"/>
      </right>
      <top/>
      <bottom style="thin">
        <color indexed="64"/>
      </bottom>
      <diagonal/>
    </border>
    <border>
      <left style="thin">
        <color indexed="64"/>
      </left>
      <right style="thick">
        <color indexed="12"/>
      </right>
      <top style="thin">
        <color indexed="64"/>
      </top>
      <bottom style="thick">
        <color indexed="12"/>
      </bottom>
      <diagonal/>
    </border>
    <border>
      <left style="double">
        <color indexed="12"/>
      </left>
      <right style="thick">
        <color indexed="12"/>
      </right>
      <top style="thick">
        <color indexed="12"/>
      </top>
      <bottom/>
      <diagonal/>
    </border>
    <border>
      <left style="double">
        <color indexed="12"/>
      </left>
      <right style="thick">
        <color indexed="12"/>
      </right>
      <top style="thick">
        <color indexed="12"/>
      </top>
      <bottom style="thick">
        <color indexed="12"/>
      </bottom>
      <diagonal/>
    </border>
    <border>
      <left/>
      <right style="thick">
        <color indexed="12"/>
      </right>
      <top style="thick">
        <color indexed="12"/>
      </top>
      <bottom style="thick">
        <color indexed="12"/>
      </bottom>
      <diagonal/>
    </border>
    <border>
      <left style="thin">
        <color indexed="64"/>
      </left>
      <right/>
      <top style="medium">
        <color indexed="64"/>
      </top>
      <bottom/>
      <diagonal/>
    </border>
    <border>
      <left/>
      <right style="medium">
        <color indexed="64"/>
      </right>
      <top style="medium">
        <color indexed="64"/>
      </top>
      <bottom/>
      <diagonal/>
    </border>
  </borders>
  <cellStyleXfs count="9">
    <xf numFmtId="0" fontId="0" fillId="0" borderId="0"/>
    <xf numFmtId="0" fontId="4" fillId="0" borderId="1"/>
    <xf numFmtId="40" fontId="1" fillId="0" borderId="0" applyFont="0" applyFill="0" applyBorder="0" applyAlignment="0" applyProtection="0"/>
    <xf numFmtId="0" fontId="3" fillId="0" borderId="0"/>
    <xf numFmtId="0" fontId="4" fillId="2" borderId="0"/>
    <xf numFmtId="0" fontId="2" fillId="3" borderId="2" applyProtection="0"/>
    <xf numFmtId="0" fontId="1" fillId="4" borderId="0"/>
    <xf numFmtId="0" fontId="26" fillId="0" borderId="0"/>
    <xf numFmtId="0" fontId="4" fillId="0" borderId="0"/>
  </cellStyleXfs>
  <cellXfs count="389">
    <xf numFmtId="0" fontId="0" fillId="0" borderId="0" xfId="0"/>
    <xf numFmtId="0" fontId="4" fillId="0" borderId="0" xfId="0" applyFont="1"/>
    <xf numFmtId="0" fontId="4" fillId="0" borderId="0" xfId="0" applyFont="1" applyProtection="1"/>
    <xf numFmtId="165" fontId="4" fillId="0" borderId="0" xfId="0" applyNumberFormat="1" applyFont="1"/>
    <xf numFmtId="164" fontId="4" fillId="0" borderId="1" xfId="0" applyNumberFormat="1" applyFont="1" applyBorder="1" applyProtection="1"/>
    <xf numFmtId="164" fontId="4" fillId="0" borderId="0" xfId="0" applyNumberFormat="1" applyFont="1" applyBorder="1"/>
    <xf numFmtId="164" fontId="4" fillId="0" borderId="0" xfId="0" applyNumberFormat="1" applyFont="1"/>
    <xf numFmtId="165" fontId="4" fillId="0" borderId="0" xfId="0" applyNumberFormat="1" applyFont="1" applyBorder="1"/>
    <xf numFmtId="0" fontId="4" fillId="0" borderId="0" xfId="0" applyFont="1" applyBorder="1"/>
    <xf numFmtId="0" fontId="6" fillId="0" borderId="0" xfId="0" applyFont="1" applyBorder="1" applyAlignment="1" applyProtection="1">
      <alignment horizontal="right"/>
    </xf>
    <xf numFmtId="0" fontId="7" fillId="3" borderId="2" xfId="5" applyFont="1" applyProtection="1">
      <protection locked="0"/>
    </xf>
    <xf numFmtId="0" fontId="8" fillId="0" borderId="0" xfId="3" applyFont="1" applyBorder="1"/>
    <xf numFmtId="0" fontId="4" fillId="0" borderId="0" xfId="0" applyFont="1" applyAlignment="1" applyProtection="1">
      <alignment horizontal="right"/>
    </xf>
    <xf numFmtId="0" fontId="8" fillId="0" borderId="0" xfId="3" quotePrefix="1" applyFont="1"/>
    <xf numFmtId="0" fontId="4" fillId="0" borderId="0" xfId="0" applyFont="1" applyAlignment="1" applyProtection="1">
      <alignment horizontal="left"/>
    </xf>
    <xf numFmtId="0" fontId="5" fillId="0" borderId="0" xfId="0" applyFont="1" applyProtection="1"/>
    <xf numFmtId="0" fontId="4" fillId="0" borderId="0" xfId="0" applyFont="1" applyAlignment="1" applyProtection="1"/>
    <xf numFmtId="0" fontId="5" fillId="0" borderId="0" xfId="0" applyFont="1" applyAlignment="1" applyProtection="1">
      <alignment horizontal="left"/>
    </xf>
    <xf numFmtId="0" fontId="4" fillId="0" borderId="1" xfId="0" applyFont="1" applyBorder="1" applyProtection="1"/>
    <xf numFmtId="165" fontId="4" fillId="0" borderId="1" xfId="0" applyNumberFormat="1" applyFont="1" applyBorder="1" applyProtection="1"/>
    <xf numFmtId="166" fontId="4" fillId="0" borderId="1" xfId="0" applyNumberFormat="1" applyFont="1" applyBorder="1" applyProtection="1"/>
    <xf numFmtId="0" fontId="4" fillId="0" borderId="0" xfId="0" applyFont="1" applyProtection="1">
      <protection locked="0"/>
    </xf>
    <xf numFmtId="164" fontId="4" fillId="0" borderId="1" xfId="0" applyNumberFormat="1" applyFont="1" applyBorder="1"/>
    <xf numFmtId="0" fontId="5" fillId="0" borderId="0" xfId="0" applyFont="1" applyBorder="1" applyAlignment="1" applyProtection="1">
      <alignment horizontal="center"/>
    </xf>
    <xf numFmtId="14" fontId="7" fillId="3" borderId="2" xfId="5" applyNumberFormat="1" applyFont="1" applyProtection="1">
      <protection locked="0"/>
    </xf>
    <xf numFmtId="0" fontId="0" fillId="0" borderId="0" xfId="0" applyAlignment="1">
      <alignment horizontal="center"/>
    </xf>
    <xf numFmtId="14" fontId="0" fillId="0" borderId="0" xfId="0" applyNumberFormat="1"/>
    <xf numFmtId="1" fontId="0" fillId="0" borderId="0" xfId="0" applyNumberFormat="1"/>
    <xf numFmtId="17" fontId="0" fillId="0" borderId="0" xfId="0" applyNumberFormat="1"/>
    <xf numFmtId="164" fontId="0" fillId="0" borderId="0" xfId="0" applyNumberFormat="1"/>
    <xf numFmtId="167" fontId="0" fillId="0" borderId="0" xfId="0" applyNumberFormat="1"/>
    <xf numFmtId="164" fontId="0" fillId="0" borderId="0" xfId="0" applyNumberFormat="1" applyAlignment="1">
      <alignment horizontal="right"/>
    </xf>
    <xf numFmtId="2" fontId="0" fillId="0" borderId="0" xfId="0" applyNumberFormat="1"/>
    <xf numFmtId="17" fontId="0" fillId="0" borderId="0" xfId="0" applyNumberFormat="1" applyAlignment="1">
      <alignment horizontal="right"/>
    </xf>
    <xf numFmtId="0" fontId="10" fillId="0" borderId="0" xfId="0" applyFont="1"/>
    <xf numFmtId="0" fontId="9" fillId="0" borderId="0" xfId="0" applyFont="1" applyBorder="1" applyAlignment="1">
      <alignment horizontal="center"/>
    </xf>
    <xf numFmtId="0" fontId="9" fillId="0" borderId="3" xfId="0" applyFont="1" applyBorder="1"/>
    <xf numFmtId="0" fontId="9" fillId="0" borderId="0" xfId="0" applyFont="1" applyBorder="1"/>
    <xf numFmtId="14" fontId="9" fillId="0" borderId="0" xfId="0" applyNumberFormat="1" applyFont="1" applyBorder="1"/>
    <xf numFmtId="14" fontId="9" fillId="0" borderId="0" xfId="0" applyNumberFormat="1" applyFont="1" applyBorder="1" applyAlignment="1">
      <alignment horizontal="center"/>
    </xf>
    <xf numFmtId="0" fontId="9" fillId="0" borderId="4" xfId="0" applyFont="1" applyBorder="1" applyAlignment="1">
      <alignment horizontal="centerContinuous"/>
    </xf>
    <xf numFmtId="0" fontId="9" fillId="0" borderId="3" xfId="0" applyFont="1" applyBorder="1" applyAlignment="1">
      <alignment horizontal="centerContinuous"/>
    </xf>
    <xf numFmtId="0" fontId="9" fillId="0" borderId="4" xfId="0" applyFont="1" applyBorder="1" applyAlignment="1" applyProtection="1">
      <alignment horizontal="centerContinuous"/>
    </xf>
    <xf numFmtId="1" fontId="9" fillId="0" borderId="5" xfId="0" applyNumberFormat="1" applyFont="1" applyBorder="1" applyAlignment="1" applyProtection="1">
      <alignment horizontal="centerContinuous"/>
    </xf>
    <xf numFmtId="1" fontId="9" fillId="0" borderId="3" xfId="0" applyNumberFormat="1" applyFont="1" applyBorder="1" applyAlignment="1" applyProtection="1">
      <alignment horizontal="centerContinuous"/>
    </xf>
    <xf numFmtId="164" fontId="9" fillId="0" borderId="5" xfId="0" applyNumberFormat="1" applyFont="1" applyBorder="1" applyAlignment="1">
      <alignment horizontal="centerContinuous"/>
    </xf>
    <xf numFmtId="167" fontId="9" fillId="0" borderId="4" xfId="0" applyNumberFormat="1" applyFont="1" applyBorder="1" applyAlignment="1">
      <alignment horizontal="centerContinuous"/>
    </xf>
    <xf numFmtId="0" fontId="9" fillId="0" borderId="5" xfId="0" applyFont="1" applyBorder="1" applyAlignment="1">
      <alignment horizontal="centerContinuous"/>
    </xf>
    <xf numFmtId="2" fontId="9" fillId="0" borderId="4" xfId="0" applyNumberFormat="1" applyFont="1" applyBorder="1" applyAlignment="1">
      <alignment horizontal="centerContinuous"/>
    </xf>
    <xf numFmtId="164" fontId="9" fillId="0" borderId="3" xfId="0" applyNumberFormat="1" applyFont="1" applyBorder="1" applyAlignment="1">
      <alignment horizontal="centerContinuous"/>
    </xf>
    <xf numFmtId="0" fontId="4" fillId="0" borderId="0"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14" fontId="4" fillId="0" borderId="0" xfId="0" applyNumberFormat="1" applyFont="1" applyBorder="1" applyAlignment="1">
      <alignment horizontal="center"/>
    </xf>
    <xf numFmtId="164" fontId="4" fillId="0" borderId="8" xfId="0" applyNumberFormat="1" applyFont="1" applyBorder="1" applyAlignment="1">
      <alignment horizontal="centerContinuous"/>
    </xf>
    <xf numFmtId="164" fontId="4" fillId="0" borderId="9" xfId="0" applyNumberFormat="1" applyFont="1" applyBorder="1" applyAlignment="1">
      <alignment horizontal="centerContinuous"/>
    </xf>
    <xf numFmtId="164" fontId="4" fillId="0" borderId="8" xfId="0" applyNumberFormat="1" applyFont="1" applyBorder="1" applyAlignment="1" applyProtection="1">
      <alignment horizontal="centerContinuous"/>
    </xf>
    <xf numFmtId="1" fontId="4" fillId="0" borderId="10" xfId="0" applyNumberFormat="1" applyFont="1" applyBorder="1" applyAlignment="1" applyProtection="1">
      <alignment horizontal="centerContinuous"/>
    </xf>
    <xf numFmtId="1" fontId="4" fillId="0" borderId="9" xfId="0" applyNumberFormat="1" applyFont="1" applyBorder="1" applyAlignment="1" applyProtection="1">
      <alignment horizontal="centerContinuous"/>
    </xf>
    <xf numFmtId="164" fontId="4" fillId="0" borderId="10" xfId="0" applyNumberFormat="1" applyFont="1" applyBorder="1" applyAlignment="1" applyProtection="1">
      <alignment horizontal="centerContinuous"/>
    </xf>
    <xf numFmtId="167" fontId="4" fillId="0" borderId="8" xfId="0" applyNumberFormat="1" applyFont="1" applyBorder="1" applyAlignment="1" applyProtection="1">
      <alignment horizontal="centerContinuous"/>
    </xf>
    <xf numFmtId="164" fontId="4" fillId="0" borderId="9" xfId="0" applyNumberFormat="1" applyFont="1" applyBorder="1" applyAlignment="1" applyProtection="1">
      <alignment horizontal="centerContinuous"/>
    </xf>
    <xf numFmtId="2" fontId="4" fillId="0" borderId="8" xfId="0" applyNumberFormat="1" applyFont="1" applyBorder="1" applyAlignment="1" applyProtection="1">
      <alignment horizontal="centerContinuous"/>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0" fontId="4" fillId="0" borderId="6" xfId="0" applyFont="1" applyBorder="1" applyAlignment="1" applyProtection="1">
      <alignment horizontal="center"/>
    </xf>
    <xf numFmtId="1" fontId="4" fillId="0" borderId="0" xfId="0" applyNumberFormat="1" applyFont="1" applyBorder="1" applyAlignment="1" applyProtection="1">
      <alignment horizontal="center"/>
    </xf>
    <xf numFmtId="1" fontId="4" fillId="0" borderId="7" xfId="0" applyNumberFormat="1" applyFont="1" applyBorder="1" applyAlignment="1" applyProtection="1">
      <alignment horizontal="center"/>
    </xf>
    <xf numFmtId="164" fontId="4" fillId="0" borderId="0" xfId="0" applyNumberFormat="1" applyFont="1" applyBorder="1" applyAlignment="1" applyProtection="1">
      <alignment horizontal="center"/>
    </xf>
    <xf numFmtId="167" fontId="4" fillId="0" borderId="6" xfId="0" applyNumberFormat="1" applyFont="1" applyBorder="1" applyAlignment="1" applyProtection="1">
      <alignment horizontal="center"/>
    </xf>
    <xf numFmtId="164" fontId="4" fillId="0" borderId="7" xfId="0" applyNumberFormat="1" applyFont="1" applyBorder="1" applyAlignment="1" applyProtection="1">
      <alignment horizontal="center"/>
    </xf>
    <xf numFmtId="2" fontId="4" fillId="0" borderId="6" xfId="0" applyNumberFormat="1" applyFont="1" applyBorder="1" applyAlignment="1" applyProtection="1">
      <alignment horizontal="center"/>
    </xf>
    <xf numFmtId="164" fontId="4" fillId="0" borderId="11" xfId="0" applyNumberFormat="1" applyFont="1" applyBorder="1" applyAlignment="1">
      <alignment horizontal="center"/>
    </xf>
    <xf numFmtId="1" fontId="4" fillId="0" borderId="12" xfId="0" applyNumberFormat="1" applyFont="1" applyBorder="1" applyAlignment="1" applyProtection="1">
      <alignment horizontal="center"/>
    </xf>
    <xf numFmtId="1" fontId="4" fillId="0" borderId="11" xfId="0" applyNumberFormat="1" applyFont="1" applyBorder="1" applyAlignment="1" applyProtection="1">
      <alignment horizontal="center"/>
    </xf>
    <xf numFmtId="164" fontId="4" fillId="0" borderId="12" xfId="0" applyNumberFormat="1" applyFont="1" applyBorder="1" applyAlignment="1" applyProtection="1">
      <alignment horizontal="center"/>
    </xf>
    <xf numFmtId="164" fontId="4" fillId="0" borderId="11" xfId="0" applyNumberFormat="1" applyFont="1" applyBorder="1" applyAlignment="1" applyProtection="1">
      <alignment horizontal="center"/>
    </xf>
    <xf numFmtId="164" fontId="4" fillId="0" borderId="3" xfId="0" applyNumberFormat="1" applyFont="1" applyBorder="1" applyAlignment="1">
      <alignment horizontal="right"/>
    </xf>
    <xf numFmtId="0" fontId="4" fillId="0" borderId="0" xfId="0" applyFont="1" applyBorder="1" applyAlignment="1"/>
    <xf numFmtId="0" fontId="4" fillId="0" borderId="0" xfId="0" applyFont="1" applyBorder="1" applyAlignment="1">
      <alignment horizontal="center" vertical="top" wrapText="1"/>
    </xf>
    <xf numFmtId="0" fontId="4" fillId="0" borderId="0" xfId="0" applyFont="1" applyBorder="1" applyAlignment="1">
      <alignment horizontal="right"/>
    </xf>
    <xf numFmtId="14" fontId="4" fillId="0" borderId="0" xfId="0" applyNumberFormat="1" applyFont="1" applyBorder="1"/>
    <xf numFmtId="2" fontId="4" fillId="0" borderId="0" xfId="0" applyNumberFormat="1" applyFont="1" applyBorder="1" applyAlignment="1">
      <alignment horizontal="right"/>
    </xf>
    <xf numFmtId="164" fontId="4" fillId="0" borderId="0" xfId="0" applyNumberFormat="1" applyFont="1" applyBorder="1" applyAlignment="1">
      <alignment horizontal="right"/>
    </xf>
    <xf numFmtId="0" fontId="4" fillId="0" borderId="0" xfId="0" applyFont="1" applyBorder="1" applyAlignment="1">
      <alignment vertical="top" wrapText="1"/>
    </xf>
    <xf numFmtId="2" fontId="0" fillId="0" borderId="0" xfId="0" applyNumberFormat="1" applyBorder="1"/>
    <xf numFmtId="166" fontId="0" fillId="0" borderId="0" xfId="0" applyNumberFormat="1"/>
    <xf numFmtId="14" fontId="4" fillId="0" borderId="0" xfId="0" applyNumberFormat="1" applyFont="1" applyBorder="1" applyAlignment="1"/>
    <xf numFmtId="164" fontId="4" fillId="0" borderId="1" xfId="0" applyNumberFormat="1" applyFont="1" applyBorder="1" applyAlignment="1">
      <alignment vertical="top" wrapText="1"/>
    </xf>
    <xf numFmtId="2" fontId="4" fillId="0" borderId="0" xfId="0" applyNumberFormat="1" applyFont="1" applyBorder="1" applyAlignment="1"/>
    <xf numFmtId="2" fontId="4" fillId="0" borderId="1" xfId="0" applyNumberFormat="1" applyFont="1" applyBorder="1" applyAlignment="1">
      <alignment vertical="top" wrapText="1"/>
    </xf>
    <xf numFmtId="164" fontId="4" fillId="0" borderId="0" xfId="0" applyNumberFormat="1" applyFont="1" applyBorder="1" applyAlignment="1"/>
    <xf numFmtId="164" fontId="4" fillId="0" borderId="0" xfId="0" applyNumberFormat="1" applyFont="1" applyBorder="1" applyAlignment="1">
      <alignment vertical="top" wrapText="1"/>
    </xf>
    <xf numFmtId="2" fontId="4" fillId="0" borderId="0" xfId="0" applyNumberFormat="1" applyFont="1" applyBorder="1" applyAlignment="1">
      <alignment vertical="top" wrapText="1"/>
    </xf>
    <xf numFmtId="166" fontId="4" fillId="0" borderId="0" xfId="0" applyNumberFormat="1" applyFont="1" applyBorder="1" applyAlignment="1">
      <alignment vertical="top" wrapText="1"/>
    </xf>
    <xf numFmtId="0" fontId="4" fillId="0" borderId="0" xfId="0" applyFont="1" applyAlignment="1">
      <alignment horizontal="right"/>
    </xf>
    <xf numFmtId="2" fontId="4" fillId="0" borderId="1" xfId="0" applyNumberFormat="1" applyFont="1" applyBorder="1"/>
    <xf numFmtId="2" fontId="4" fillId="0" borderId="0" xfId="0" applyNumberFormat="1" applyFont="1" applyBorder="1"/>
    <xf numFmtId="166" fontId="4" fillId="0" borderId="0" xfId="0" applyNumberFormat="1" applyFont="1" applyBorder="1"/>
    <xf numFmtId="170" fontId="4" fillId="0" borderId="0" xfId="0" applyNumberFormat="1" applyFont="1" applyBorder="1" applyAlignment="1">
      <alignment horizontal="right"/>
    </xf>
    <xf numFmtId="170" fontId="4" fillId="0" borderId="1" xfId="0" applyNumberFormat="1" applyFont="1" applyBorder="1" applyAlignment="1">
      <alignment horizontal="right" vertical="top" wrapText="1"/>
    </xf>
    <xf numFmtId="170" fontId="4" fillId="0" borderId="0" xfId="0" applyNumberFormat="1" applyFont="1" applyBorder="1" applyAlignment="1">
      <alignment horizontal="center" vertical="top" wrapText="1"/>
    </xf>
    <xf numFmtId="170" fontId="0" fillId="0" borderId="0" xfId="0" applyNumberFormat="1"/>
    <xf numFmtId="170" fontId="4" fillId="0" borderId="0" xfId="0" applyNumberFormat="1" applyFont="1" applyBorder="1" applyAlignment="1"/>
    <xf numFmtId="170" fontId="4" fillId="0" borderId="0" xfId="0" applyNumberFormat="1" applyFont="1" applyBorder="1"/>
    <xf numFmtId="170" fontId="4" fillId="0" borderId="0" xfId="0" applyNumberFormat="1" applyFont="1" applyBorder="1" applyAlignment="1">
      <alignment vertical="top" wrapText="1"/>
    </xf>
    <xf numFmtId="164" fontId="4" fillId="0" borderId="13" xfId="0" applyNumberFormat="1" applyFont="1" applyBorder="1" applyAlignment="1">
      <alignment horizontal="center" vertical="top" wrapText="1"/>
    </xf>
    <xf numFmtId="164" fontId="0" fillId="0" borderId="13" xfId="0" applyNumberFormat="1" applyBorder="1"/>
    <xf numFmtId="164" fontId="4" fillId="0" borderId="13" xfId="0" applyNumberFormat="1" applyFont="1" applyBorder="1" applyAlignment="1">
      <alignment horizontal="right"/>
    </xf>
    <xf numFmtId="164" fontId="4" fillId="0" borderId="13" xfId="0" applyNumberFormat="1" applyFont="1" applyBorder="1" applyAlignment="1"/>
    <xf numFmtId="164" fontId="4" fillId="0" borderId="13" xfId="0" applyNumberFormat="1" applyFont="1" applyBorder="1"/>
    <xf numFmtId="2" fontId="4" fillId="0" borderId="14" xfId="0" applyNumberFormat="1" applyFont="1" applyBorder="1" applyAlignment="1">
      <alignment horizontal="right" vertical="top" wrapText="1"/>
    </xf>
    <xf numFmtId="1" fontId="4" fillId="0" borderId="14" xfId="0" applyNumberFormat="1" applyFont="1" applyBorder="1" applyAlignment="1">
      <alignment horizontal="right" vertical="top" wrapText="1"/>
    </xf>
    <xf numFmtId="2" fontId="4" fillId="0" borderId="13" xfId="0" applyNumberFormat="1" applyFont="1" applyBorder="1" applyAlignment="1">
      <alignment horizontal="right"/>
    </xf>
    <xf numFmtId="164" fontId="4" fillId="0" borderId="14" xfId="0" applyNumberFormat="1" applyFont="1" applyBorder="1" applyAlignment="1">
      <alignment horizontal="right" vertical="top" wrapText="1"/>
    </xf>
    <xf numFmtId="0" fontId="0" fillId="0" borderId="0" xfId="0" applyBorder="1" applyAlignment="1">
      <alignment horizontal="center"/>
    </xf>
    <xf numFmtId="0" fontId="0" fillId="0" borderId="0" xfId="0" applyBorder="1"/>
    <xf numFmtId="14" fontId="0" fillId="0" borderId="0" xfId="0" applyNumberFormat="1" applyBorder="1"/>
    <xf numFmtId="1" fontId="0" fillId="0" borderId="0" xfId="0" applyNumberFormat="1" applyBorder="1"/>
    <xf numFmtId="164" fontId="0" fillId="0" borderId="0" xfId="0" applyNumberFormat="1" applyBorder="1"/>
    <xf numFmtId="167" fontId="0" fillId="0" borderId="0" xfId="0" applyNumberFormat="1" applyBorder="1"/>
    <xf numFmtId="0" fontId="0" fillId="0" borderId="0" xfId="0" applyBorder="1" applyAlignment="1">
      <alignment horizontal="left"/>
    </xf>
    <xf numFmtId="14" fontId="0" fillId="0" borderId="0" xfId="0" applyNumberFormat="1" applyBorder="1" applyAlignment="1">
      <alignment horizontal="left"/>
    </xf>
    <xf numFmtId="164" fontId="0" fillId="0" borderId="0" xfId="0" applyNumberFormat="1" applyBorder="1" applyAlignment="1">
      <alignment horizontal="center"/>
    </xf>
    <xf numFmtId="0" fontId="0" fillId="0" borderId="0" xfId="0" applyBorder="1" applyAlignment="1">
      <alignment horizontal="right"/>
    </xf>
    <xf numFmtId="164" fontId="0" fillId="0" borderId="0" xfId="0" applyNumberFormat="1" applyBorder="1" applyAlignment="1">
      <alignment horizontal="right"/>
    </xf>
    <xf numFmtId="1" fontId="0" fillId="0" borderId="0" xfId="0" applyNumberFormat="1" applyBorder="1" applyAlignment="1">
      <alignment horizontal="right"/>
    </xf>
    <xf numFmtId="1" fontId="0" fillId="0" borderId="0" xfId="0" applyNumberFormat="1" applyBorder="1" applyAlignment="1">
      <alignment horizontal="center"/>
    </xf>
    <xf numFmtId="2" fontId="0" fillId="0" borderId="0" xfId="0" applyNumberFormat="1" applyBorder="1" applyAlignment="1">
      <alignment horizontal="center"/>
    </xf>
    <xf numFmtId="167" fontId="0" fillId="0" borderId="0" xfId="0" applyNumberFormat="1" applyBorder="1" applyAlignment="1">
      <alignment horizontal="center"/>
    </xf>
    <xf numFmtId="167" fontId="0" fillId="0" borderId="0" xfId="0" applyNumberFormat="1" applyBorder="1" applyAlignment="1">
      <alignment horizontal="left"/>
    </xf>
    <xf numFmtId="164" fontId="4" fillId="0" borderId="1" xfId="0" applyNumberFormat="1" applyFont="1" applyBorder="1" applyAlignment="1" applyProtection="1">
      <alignment vertical="top" wrapText="1"/>
    </xf>
    <xf numFmtId="0" fontId="12" fillId="0" borderId="0" xfId="0" applyFont="1" applyAlignment="1">
      <alignment horizontal="right"/>
    </xf>
    <xf numFmtId="3" fontId="4" fillId="0" borderId="10" xfId="0" applyNumberFormat="1" applyFont="1" applyBorder="1" applyAlignment="1"/>
    <xf numFmtId="0" fontId="10" fillId="0" borderId="6" xfId="0" applyFont="1" applyBorder="1" applyAlignment="1">
      <alignment horizontal="centerContinuous"/>
    </xf>
    <xf numFmtId="0" fontId="0" fillId="0" borderId="6" xfId="0" applyBorder="1"/>
    <xf numFmtId="2" fontId="4" fillId="0" borderId="5" xfId="0" applyNumberFormat="1" applyFont="1" applyBorder="1" applyAlignment="1"/>
    <xf numFmtId="164" fontId="4" fillId="0" borderId="5" xfId="0" applyNumberFormat="1" applyFont="1" applyBorder="1" applyAlignment="1"/>
    <xf numFmtId="164" fontId="4" fillId="0" borderId="5" xfId="0" applyNumberFormat="1" applyFont="1" applyBorder="1" applyAlignment="1">
      <alignment horizontal="right"/>
    </xf>
    <xf numFmtId="166" fontId="4" fillId="0" borderId="5" xfId="0" applyNumberFormat="1" applyFont="1" applyBorder="1" applyAlignment="1">
      <alignment horizontal="right"/>
    </xf>
    <xf numFmtId="3" fontId="4" fillId="0" borderId="0" xfId="0" applyNumberFormat="1" applyFont="1" applyBorder="1" applyAlignment="1"/>
    <xf numFmtId="0" fontId="4" fillId="0" borderId="15" xfId="0" applyFont="1" applyBorder="1" applyAlignment="1">
      <alignment horizontal="right"/>
    </xf>
    <xf numFmtId="3" fontId="4" fillId="0" borderId="16" xfId="0" applyNumberFormat="1" applyFont="1" applyBorder="1" applyAlignment="1"/>
    <xf numFmtId="2" fontId="4" fillId="0" borderId="16" xfId="0" applyNumberFormat="1" applyFont="1" applyBorder="1" applyAlignment="1" applyProtection="1">
      <alignment vertical="top" wrapText="1"/>
    </xf>
    <xf numFmtId="164" fontId="4" fillId="0" borderId="17" xfId="0" applyNumberFormat="1" applyFont="1" applyBorder="1" applyAlignment="1">
      <alignment horizontal="right" vertical="top" wrapText="1"/>
    </xf>
    <xf numFmtId="164" fontId="4" fillId="0" borderId="18" xfId="0" applyNumberFormat="1" applyFont="1" applyBorder="1" applyAlignment="1">
      <alignment horizontal="right" vertical="top" wrapText="1"/>
    </xf>
    <xf numFmtId="169" fontId="4" fillId="0" borderId="19" xfId="0" applyNumberFormat="1" applyFont="1" applyBorder="1" applyAlignment="1" applyProtection="1">
      <alignment horizontal="center"/>
      <protection locked="0"/>
    </xf>
    <xf numFmtId="1" fontId="4" fillId="0" borderId="19" xfId="0" applyNumberFormat="1" applyFont="1" applyBorder="1" applyAlignment="1" applyProtection="1">
      <alignment horizontal="center"/>
      <protection locked="0"/>
    </xf>
    <xf numFmtId="164" fontId="4" fillId="0" borderId="19" xfId="0" applyNumberFormat="1" applyFont="1" applyBorder="1" applyAlignment="1" applyProtection="1">
      <protection locked="0"/>
    </xf>
    <xf numFmtId="0" fontId="4" fillId="0" borderId="2" xfId="0" applyFont="1" applyBorder="1" applyProtection="1">
      <protection locked="0"/>
    </xf>
    <xf numFmtId="169" fontId="4" fillId="0" borderId="2" xfId="0" applyNumberFormat="1" applyFont="1" applyBorder="1" applyAlignment="1" applyProtection="1">
      <alignment horizontal="center"/>
      <protection locked="0"/>
    </xf>
    <xf numFmtId="1" fontId="4" fillId="0" borderId="2" xfId="0" applyNumberFormat="1" applyFont="1" applyBorder="1" applyAlignment="1" applyProtection="1">
      <alignment horizontal="center"/>
      <protection locked="0"/>
    </xf>
    <xf numFmtId="164" fontId="4" fillId="0" borderId="2" xfId="0" applyNumberFormat="1" applyFont="1" applyBorder="1" applyAlignment="1" applyProtection="1">
      <protection locked="0"/>
    </xf>
    <xf numFmtId="0" fontId="4" fillId="0" borderId="2" xfId="0" applyFont="1" applyBorder="1" applyAlignment="1" applyProtection="1">
      <alignment horizontal="center"/>
      <protection locked="0"/>
    </xf>
    <xf numFmtId="2" fontId="4" fillId="0" borderId="2" xfId="0" applyNumberFormat="1" applyFont="1" applyBorder="1" applyAlignment="1" applyProtection="1">
      <protection locked="0"/>
    </xf>
    <xf numFmtId="166" fontId="4" fillId="0" borderId="2" xfId="0" applyNumberFormat="1" applyFont="1" applyBorder="1" applyAlignment="1" applyProtection="1">
      <protection locked="0"/>
    </xf>
    <xf numFmtId="0" fontId="14" fillId="0" borderId="0" xfId="0" applyFont="1" applyAlignment="1">
      <alignment horizontal="right"/>
    </xf>
    <xf numFmtId="164" fontId="4" fillId="0" borderId="20" xfId="0" applyNumberFormat="1" applyFont="1" applyBorder="1"/>
    <xf numFmtId="14" fontId="4" fillId="0" borderId="0" xfId="0" applyNumberFormat="1" applyFont="1" applyBorder="1" applyAlignment="1">
      <alignment horizontal="right"/>
    </xf>
    <xf numFmtId="164" fontId="4" fillId="0" borderId="21" xfId="0" applyNumberFormat="1" applyFont="1" applyBorder="1" applyProtection="1"/>
    <xf numFmtId="164" fontId="4" fillId="0" borderId="22" xfId="0" applyNumberFormat="1" applyFont="1" applyBorder="1" applyProtection="1"/>
    <xf numFmtId="171" fontId="4" fillId="0" borderId="16" xfId="0" applyNumberFormat="1" applyFont="1" applyBorder="1" applyAlignment="1"/>
    <xf numFmtId="0" fontId="13" fillId="0" borderId="0" xfId="0" applyFont="1"/>
    <xf numFmtId="0" fontId="13" fillId="0" borderId="0" xfId="0" applyFont="1" applyProtection="1"/>
    <xf numFmtId="0" fontId="16" fillId="0" borderId="0" xfId="0" applyFont="1" applyBorder="1" applyAlignment="1" applyProtection="1">
      <alignment horizontal="right"/>
    </xf>
    <xf numFmtId="165" fontId="4" fillId="0" borderId="1" xfId="0" applyNumberFormat="1" applyFont="1" applyBorder="1"/>
    <xf numFmtId="0" fontId="7" fillId="3" borderId="2" xfId="5" applyFont="1" applyAlignment="1" applyProtection="1">
      <alignment horizontal="center"/>
      <protection locked="0"/>
    </xf>
    <xf numFmtId="164" fontId="4" fillId="0" borderId="23" xfId="0" applyNumberFormat="1" applyFont="1" applyBorder="1" applyProtection="1"/>
    <xf numFmtId="0" fontId="0" fillId="0" borderId="0" xfId="0" applyAlignment="1">
      <alignment horizontal="right"/>
    </xf>
    <xf numFmtId="0" fontId="0" fillId="0" borderId="0" xfId="0" applyProtection="1"/>
    <xf numFmtId="0" fontId="0" fillId="0" borderId="0" xfId="0" applyAlignment="1" applyProtection="1">
      <alignment horizontal="right"/>
    </xf>
    <xf numFmtId="0" fontId="0" fillId="0" borderId="23" xfId="0" applyBorder="1" applyProtection="1"/>
    <xf numFmtId="165" fontId="0" fillId="0" borderId="23" xfId="0" applyNumberFormat="1" applyBorder="1" applyProtection="1"/>
    <xf numFmtId="0" fontId="21" fillId="0" borderId="0" xfId="0" applyFont="1" applyAlignment="1"/>
    <xf numFmtId="0" fontId="7" fillId="3" borderId="2" xfId="5" applyFont="1" applyBorder="1" applyProtection="1">
      <protection locked="0"/>
    </xf>
    <xf numFmtId="14" fontId="7" fillId="3" borderId="2" xfId="5" applyNumberFormat="1" applyFont="1" applyAlignment="1" applyProtection="1">
      <alignment horizontal="right"/>
      <protection locked="0"/>
    </xf>
    <xf numFmtId="14" fontId="7" fillId="3" borderId="24" xfId="5" applyNumberFormat="1" applyFont="1" applyBorder="1" applyProtection="1">
      <protection locked="0"/>
    </xf>
    <xf numFmtId="165" fontId="4" fillId="0" borderId="23" xfId="0" applyNumberFormat="1" applyFont="1" applyBorder="1" applyProtection="1"/>
    <xf numFmtId="1" fontId="4" fillId="0" borderId="25" xfId="0" applyNumberFormat="1" applyFont="1" applyBorder="1" applyProtection="1"/>
    <xf numFmtId="1" fontId="4" fillId="0" borderId="26" xfId="0" applyNumberFormat="1" applyFont="1" applyBorder="1" applyProtection="1"/>
    <xf numFmtId="164" fontId="4" fillId="0" borderId="23" xfId="0" applyNumberFormat="1" applyFont="1" applyBorder="1" applyAlignment="1" applyProtection="1">
      <alignment horizontal="right"/>
    </xf>
    <xf numFmtId="164" fontId="4" fillId="0" borderId="23" xfId="0" applyNumberFormat="1" applyFont="1" applyBorder="1" applyAlignment="1" applyProtection="1">
      <alignment horizontal="center"/>
    </xf>
    <xf numFmtId="164" fontId="4" fillId="0" borderId="27" xfId="0" applyNumberFormat="1" applyFont="1" applyBorder="1" applyAlignment="1" applyProtection="1">
      <alignment horizontal="center"/>
    </xf>
    <xf numFmtId="164" fontId="4" fillId="0" borderId="27" xfId="0" applyNumberFormat="1" applyFont="1" applyBorder="1" applyProtection="1"/>
    <xf numFmtId="164" fontId="22" fillId="0" borderId="28" xfId="0" applyNumberFormat="1" applyFont="1" applyBorder="1" applyProtection="1"/>
    <xf numFmtId="0" fontId="24" fillId="0" borderId="0" xfId="0" applyFont="1" applyProtection="1"/>
    <xf numFmtId="0" fontId="5" fillId="0" borderId="2" xfId="0" applyFont="1" applyBorder="1" applyAlignment="1" applyProtection="1">
      <alignment horizontal="center"/>
      <protection locked="0"/>
    </xf>
    <xf numFmtId="0" fontId="5" fillId="0" borderId="29" xfId="0" applyFont="1" applyBorder="1" applyAlignment="1" applyProtection="1">
      <alignment horizontal="center"/>
    </xf>
    <xf numFmtId="0" fontId="4" fillId="0" borderId="30" xfId="0" applyFont="1" applyBorder="1" applyProtection="1"/>
    <xf numFmtId="0" fontId="4" fillId="0" borderId="25" xfId="0" applyFont="1" applyBorder="1" applyProtection="1"/>
    <xf numFmtId="164" fontId="22" fillId="0" borderId="31" xfId="0" applyNumberFormat="1" applyFont="1" applyBorder="1" applyProtection="1"/>
    <xf numFmtId="0" fontId="4" fillId="0" borderId="32" xfId="0" applyFont="1" applyBorder="1" applyProtection="1"/>
    <xf numFmtId="0" fontId="4" fillId="0" borderId="26" xfId="0" applyFont="1" applyBorder="1" applyProtection="1"/>
    <xf numFmtId="0" fontId="4" fillId="3" borderId="33" xfId="5" applyFont="1" applyBorder="1" applyAlignment="1" applyProtection="1">
      <alignment horizontal="right"/>
    </xf>
    <xf numFmtId="172" fontId="0" fillId="0" borderId="0" xfId="0" applyNumberFormat="1" applyAlignment="1" applyProtection="1">
      <alignment horizontal="left"/>
    </xf>
    <xf numFmtId="0" fontId="0" fillId="0" borderId="0" xfId="0" applyAlignment="1" applyProtection="1">
      <alignment horizontal="center"/>
    </xf>
    <xf numFmtId="1" fontId="4" fillId="3" borderId="1" xfId="5" applyNumberFormat="1" applyFont="1" applyBorder="1" applyAlignment="1" applyProtection="1">
      <alignment horizontal="right"/>
    </xf>
    <xf numFmtId="0" fontId="0" fillId="0" borderId="4" xfId="0" applyBorder="1" applyProtection="1"/>
    <xf numFmtId="0" fontId="0" fillId="0" borderId="5" xfId="0" applyBorder="1" applyAlignment="1" applyProtection="1">
      <alignment horizontal="right"/>
    </xf>
    <xf numFmtId="0" fontId="0" fillId="0" borderId="5" xfId="0" applyBorder="1" applyProtection="1"/>
    <xf numFmtId="0" fontId="0" fillId="0" borderId="3" xfId="0" applyBorder="1" applyProtection="1"/>
    <xf numFmtId="0" fontId="0" fillId="0" borderId="0" xfId="0" applyBorder="1" applyProtection="1"/>
    <xf numFmtId="0" fontId="0" fillId="0" borderId="6" xfId="0" applyBorder="1" applyProtection="1"/>
    <xf numFmtId="0" fontId="0" fillId="0" borderId="0" xfId="0" applyBorder="1" applyAlignment="1" applyProtection="1">
      <alignment horizontal="right"/>
    </xf>
    <xf numFmtId="0" fontId="0" fillId="0" borderId="7" xfId="0" applyBorder="1" applyProtection="1"/>
    <xf numFmtId="14" fontId="1" fillId="3" borderId="20" xfId="5" applyNumberFormat="1" applyFont="1" applyBorder="1" applyProtection="1"/>
    <xf numFmtId="2" fontId="1" fillId="3" borderId="1" xfId="5" applyNumberFormat="1" applyFont="1" applyBorder="1" applyAlignment="1" applyProtection="1">
      <alignment horizontal="right"/>
    </xf>
    <xf numFmtId="0" fontId="1" fillId="3" borderId="1" xfId="5" applyFont="1" applyBorder="1" applyAlignment="1" applyProtection="1">
      <alignment horizontal="right"/>
    </xf>
    <xf numFmtId="0" fontId="0" fillId="0" borderId="8" xfId="0" applyBorder="1" applyProtection="1"/>
    <xf numFmtId="0" fontId="0" fillId="0" borderId="10" xfId="0" applyBorder="1" applyAlignment="1" applyProtection="1">
      <alignment horizontal="right"/>
    </xf>
    <xf numFmtId="0" fontId="0" fillId="0" borderId="10" xfId="0" applyBorder="1" applyProtection="1"/>
    <xf numFmtId="0" fontId="0" fillId="0" borderId="17" xfId="0" applyBorder="1" applyProtection="1"/>
    <xf numFmtId="0" fontId="0" fillId="0" borderId="33" xfId="0" applyBorder="1" applyAlignment="1" applyProtection="1">
      <alignment horizontal="center" wrapText="1"/>
    </xf>
    <xf numFmtId="0" fontId="0" fillId="0" borderId="17" xfId="0" applyBorder="1" applyAlignment="1" applyProtection="1">
      <alignment horizontal="center" wrapText="1"/>
    </xf>
    <xf numFmtId="0" fontId="0" fillId="0" borderId="17" xfId="0" applyBorder="1" applyAlignment="1" applyProtection="1">
      <alignment horizontal="center"/>
    </xf>
    <xf numFmtId="0" fontId="4" fillId="0" borderId="1" xfId="1" applyProtection="1"/>
    <xf numFmtId="173" fontId="4" fillId="0" borderId="1" xfId="1" applyNumberFormat="1" applyProtection="1"/>
    <xf numFmtId="0" fontId="9" fillId="0" borderId="1" xfId="1" applyFont="1" applyAlignment="1" applyProtection="1">
      <alignment horizontal="center"/>
    </xf>
    <xf numFmtId="174" fontId="4" fillId="0" borderId="1" xfId="1" applyNumberFormat="1" applyAlignment="1" applyProtection="1">
      <alignment horizontal="center"/>
    </xf>
    <xf numFmtId="0" fontId="4" fillId="2" borderId="0" xfId="4" applyProtection="1"/>
    <xf numFmtId="173" fontId="4" fillId="2" borderId="0" xfId="4" applyNumberFormat="1" applyProtection="1"/>
    <xf numFmtId="173" fontId="4" fillId="2" borderId="0" xfId="4" applyNumberFormat="1" applyAlignment="1" applyProtection="1">
      <alignment horizontal="center"/>
    </xf>
    <xf numFmtId="0" fontId="4" fillId="0" borderId="1" xfId="1" applyAlignment="1" applyProtection="1">
      <alignment horizontal="center"/>
    </xf>
    <xf numFmtId="0" fontId="21" fillId="0" borderId="0" xfId="0" applyFont="1" applyAlignment="1" applyProtection="1"/>
    <xf numFmtId="0" fontId="21" fillId="0" borderId="0" xfId="0" applyFont="1" applyAlignment="1" applyProtection="1">
      <alignment horizontal="center"/>
    </xf>
    <xf numFmtId="0" fontId="21" fillId="0" borderId="0" xfId="0" applyFont="1" applyBorder="1" applyAlignment="1" applyProtection="1">
      <alignment horizontal="center"/>
    </xf>
    <xf numFmtId="0" fontId="9" fillId="0" borderId="1" xfId="0" applyFont="1" applyBorder="1" applyAlignment="1" applyProtection="1">
      <alignment horizontal="center"/>
    </xf>
    <xf numFmtId="0" fontId="2" fillId="3" borderId="2" xfId="5" applyProtection="1">
      <protection locked="0"/>
    </xf>
    <xf numFmtId="167" fontId="2" fillId="3" borderId="2" xfId="5" applyNumberFormat="1" applyProtection="1">
      <protection locked="0"/>
    </xf>
    <xf numFmtId="164" fontId="2" fillId="3" borderId="2" xfId="5" applyNumberFormat="1" applyProtection="1">
      <protection locked="0"/>
    </xf>
    <xf numFmtId="0" fontId="4" fillId="0" borderId="33" xfId="0" applyFont="1" applyBorder="1" applyProtection="1"/>
    <xf numFmtId="0" fontId="4" fillId="3" borderId="34" xfId="5" applyFont="1" applyBorder="1" applyProtection="1"/>
    <xf numFmtId="0" fontId="4" fillId="3" borderId="35" xfId="5" applyFont="1" applyBorder="1" applyProtection="1"/>
    <xf numFmtId="0" fontId="9" fillId="0" borderId="1" xfId="0" applyFont="1" applyBorder="1" applyProtection="1"/>
    <xf numFmtId="1" fontId="4" fillId="0" borderId="16" xfId="0" applyNumberFormat="1" applyFont="1" applyBorder="1" applyAlignment="1" applyProtection="1">
      <alignment vertical="top" wrapText="1"/>
    </xf>
    <xf numFmtId="1" fontId="4" fillId="0" borderId="1" xfId="0" applyNumberFormat="1" applyFont="1" applyBorder="1" applyAlignment="1" applyProtection="1">
      <alignment vertical="top" wrapText="1"/>
    </xf>
    <xf numFmtId="1" fontId="4" fillId="0" borderId="1" xfId="0" applyNumberFormat="1" applyFont="1" applyBorder="1"/>
    <xf numFmtId="1" fontId="4" fillId="0" borderId="1" xfId="0" applyNumberFormat="1" applyFont="1" applyBorder="1" applyAlignment="1">
      <alignment vertical="top" wrapText="1"/>
    </xf>
    <xf numFmtId="164" fontId="4" fillId="0" borderId="16" xfId="0" applyNumberFormat="1" applyFont="1" applyBorder="1" applyAlignment="1" applyProtection="1">
      <alignment vertical="top" wrapText="1"/>
    </xf>
    <xf numFmtId="165" fontId="4" fillId="0" borderId="16" xfId="0" applyNumberFormat="1" applyFont="1" applyBorder="1" applyAlignment="1" applyProtection="1">
      <alignment vertical="top" wrapText="1"/>
    </xf>
    <xf numFmtId="165" fontId="4" fillId="0" borderId="1" xfId="0" applyNumberFormat="1" applyFont="1" applyBorder="1" applyAlignment="1" applyProtection="1">
      <alignment vertical="top" wrapText="1"/>
    </xf>
    <xf numFmtId="165" fontId="4" fillId="0" borderId="1" xfId="0" applyNumberFormat="1" applyFont="1" applyBorder="1" applyAlignment="1">
      <alignment vertical="top" wrapText="1"/>
    </xf>
    <xf numFmtId="165" fontId="4" fillId="0" borderId="14" xfId="0" applyNumberFormat="1" applyFont="1" applyBorder="1" applyAlignment="1">
      <alignment horizontal="right" vertical="top" wrapText="1"/>
    </xf>
    <xf numFmtId="0" fontId="5" fillId="0" borderId="10" xfId="0" applyFont="1" applyBorder="1" applyAlignment="1" applyProtection="1">
      <alignment horizontal="left"/>
    </xf>
    <xf numFmtId="0" fontId="4" fillId="0" borderId="10" xfId="0" applyFont="1" applyBorder="1" applyProtection="1"/>
    <xf numFmtId="0" fontId="15" fillId="0" borderId="10" xfId="0" applyFont="1" applyBorder="1" applyProtection="1"/>
    <xf numFmtId="1" fontId="4" fillId="0" borderId="36" xfId="0" applyNumberFormat="1" applyFont="1" applyBorder="1" applyProtection="1"/>
    <xf numFmtId="164" fontId="4" fillId="0" borderId="8" xfId="0" applyNumberFormat="1" applyFont="1" applyBorder="1" applyProtection="1"/>
    <xf numFmtId="164" fontId="22" fillId="0" borderId="37" xfId="0" applyNumberFormat="1" applyFont="1" applyBorder="1" applyProtection="1"/>
    <xf numFmtId="0" fontId="4" fillId="0" borderId="9" xfId="0" applyFont="1" applyBorder="1" applyProtection="1"/>
    <xf numFmtId="164" fontId="4" fillId="0" borderId="8" xfId="0" applyNumberFormat="1" applyFont="1" applyBorder="1" applyAlignment="1" applyProtection="1">
      <alignment horizontal="right"/>
    </xf>
    <xf numFmtId="0" fontId="4" fillId="0" borderId="36" xfId="0" applyFont="1" applyBorder="1" applyProtection="1"/>
    <xf numFmtId="0" fontId="19" fillId="0" borderId="38" xfId="0" applyFont="1" applyBorder="1" applyAlignment="1" applyProtection="1">
      <alignment horizontal="center" wrapText="1"/>
    </xf>
    <xf numFmtId="0" fontId="19" fillId="0" borderId="39" xfId="0" applyFont="1" applyBorder="1" applyAlignment="1" applyProtection="1">
      <alignment horizontal="center" wrapText="1"/>
    </xf>
    <xf numFmtId="0" fontId="19" fillId="0" borderId="40" xfId="0" applyFont="1" applyBorder="1" applyAlignment="1">
      <alignment horizontal="center" wrapText="1"/>
    </xf>
    <xf numFmtId="0" fontId="19" fillId="0" borderId="41" xfId="0" applyFont="1" applyBorder="1" applyAlignment="1" applyProtection="1">
      <alignment horizontal="center" wrapText="1"/>
    </xf>
    <xf numFmtId="0" fontId="5" fillId="0" borderId="42" xfId="0" applyFont="1" applyBorder="1" applyAlignment="1" applyProtection="1">
      <alignment horizontal="left" wrapText="1"/>
    </xf>
    <xf numFmtId="0" fontId="19" fillId="0" borderId="40" xfId="0" applyFont="1" applyBorder="1" applyAlignment="1" applyProtection="1">
      <alignment horizontal="center" wrapText="1"/>
    </xf>
    <xf numFmtId="164" fontId="4" fillId="0" borderId="43" xfId="0" applyNumberFormat="1" applyFont="1" applyBorder="1" applyProtection="1"/>
    <xf numFmtId="164" fontId="4" fillId="0" borderId="44" xfId="0" applyNumberFormat="1" applyFont="1" applyBorder="1"/>
    <xf numFmtId="164" fontId="4" fillId="0" borderId="45" xfId="0" applyNumberFormat="1" applyFont="1" applyBorder="1" applyProtection="1"/>
    <xf numFmtId="164" fontId="4" fillId="0" borderId="46" xfId="0" applyNumberFormat="1" applyFont="1" applyBorder="1" applyProtection="1"/>
    <xf numFmtId="164" fontId="4" fillId="0" borderId="47" xfId="0" applyNumberFormat="1" applyFont="1" applyBorder="1"/>
    <xf numFmtId="2" fontId="4" fillId="0" borderId="23" xfId="0" applyNumberFormat="1" applyFont="1" applyBorder="1" applyProtection="1"/>
    <xf numFmtId="0" fontId="4" fillId="0" borderId="0" xfId="0" applyFont="1" applyBorder="1" applyProtection="1"/>
    <xf numFmtId="164" fontId="4" fillId="0" borderId="25" xfId="0" applyNumberFormat="1" applyFont="1" applyBorder="1" applyProtection="1"/>
    <xf numFmtId="2" fontId="4" fillId="0" borderId="25" xfId="0" applyNumberFormat="1" applyFont="1" applyBorder="1" applyProtection="1"/>
    <xf numFmtId="164" fontId="4" fillId="0" borderId="26" xfId="0" applyNumberFormat="1" applyFont="1" applyBorder="1" applyProtection="1"/>
    <xf numFmtId="0" fontId="4" fillId="0" borderId="23" xfId="0" applyFont="1" applyBorder="1"/>
    <xf numFmtId="165" fontId="4" fillId="0" borderId="23" xfId="0" applyNumberFormat="1" applyFont="1" applyBorder="1"/>
    <xf numFmtId="0" fontId="4" fillId="0" borderId="44" xfId="0" applyFont="1" applyBorder="1"/>
    <xf numFmtId="0" fontId="4" fillId="0" borderId="48" xfId="0" applyFont="1" applyBorder="1"/>
    <xf numFmtId="164" fontId="4" fillId="0" borderId="0" xfId="0" applyNumberFormat="1" applyFont="1" applyFill="1" applyBorder="1" applyProtection="1"/>
    <xf numFmtId="164" fontId="4" fillId="0" borderId="0" xfId="0" applyNumberFormat="1" applyFont="1" applyFill="1" applyBorder="1" applyAlignment="1" applyProtection="1">
      <alignment horizontal="center"/>
    </xf>
    <xf numFmtId="164" fontId="4" fillId="0" borderId="44" xfId="0" applyNumberFormat="1" applyFont="1" applyBorder="1" applyProtection="1"/>
    <xf numFmtId="164" fontId="4" fillId="0" borderId="48" xfId="0" applyNumberFormat="1" applyFont="1" applyBorder="1" applyProtection="1"/>
    <xf numFmtId="164" fontId="4" fillId="0" borderId="23" xfId="0" applyNumberFormat="1" applyFont="1" applyBorder="1"/>
    <xf numFmtId="164" fontId="4" fillId="0" borderId="27" xfId="0" applyNumberFormat="1" applyFont="1" applyBorder="1"/>
    <xf numFmtId="0" fontId="4" fillId="0" borderId="45" xfId="0" applyFont="1" applyBorder="1" applyProtection="1"/>
    <xf numFmtId="0" fontId="4" fillId="0" borderId="46" xfId="0" applyFont="1" applyBorder="1" applyProtection="1"/>
    <xf numFmtId="164" fontId="4" fillId="0" borderId="30" xfId="0" applyNumberFormat="1" applyFont="1" applyBorder="1"/>
    <xf numFmtId="164" fontId="4" fillId="0" borderId="32" xfId="0" applyNumberFormat="1" applyFont="1" applyBorder="1"/>
    <xf numFmtId="168" fontId="4" fillId="0" borderId="25" xfId="0" applyNumberFormat="1" applyFont="1" applyBorder="1" applyProtection="1"/>
    <xf numFmtId="168" fontId="4" fillId="0" borderId="44" xfId="0" applyNumberFormat="1" applyFont="1" applyBorder="1" applyProtection="1"/>
    <xf numFmtId="168" fontId="4" fillId="0" borderId="26" xfId="0" applyNumberFormat="1" applyFont="1" applyBorder="1" applyProtection="1"/>
    <xf numFmtId="168" fontId="4" fillId="0" borderId="48" xfId="0" applyNumberFormat="1" applyFont="1" applyBorder="1" applyProtection="1"/>
    <xf numFmtId="0" fontId="4" fillId="0" borderId="23" xfId="0" applyFont="1" applyBorder="1" applyProtection="1"/>
    <xf numFmtId="0" fontId="4" fillId="0" borderId="49" xfId="0" applyFont="1" applyBorder="1"/>
    <xf numFmtId="166" fontId="4" fillId="0" borderId="25" xfId="0" applyNumberFormat="1" applyFont="1" applyBorder="1" applyProtection="1"/>
    <xf numFmtId="0" fontId="4" fillId="0" borderId="27" xfId="0" applyFont="1" applyBorder="1" applyProtection="1"/>
    <xf numFmtId="0" fontId="4" fillId="0" borderId="50" xfId="0" applyFont="1" applyBorder="1"/>
    <xf numFmtId="0" fontId="19" fillId="0" borderId="20" xfId="0" applyFont="1" applyBorder="1" applyAlignment="1" applyProtection="1">
      <alignment horizontal="center" wrapText="1"/>
    </xf>
    <xf numFmtId="0" fontId="19" fillId="0" borderId="8" xfId="0" applyFont="1" applyBorder="1" applyAlignment="1" applyProtection="1">
      <alignment horizontal="center" wrapText="1"/>
    </xf>
    <xf numFmtId="0" fontId="19" fillId="0" borderId="51" xfId="0" applyFont="1" applyBorder="1" applyAlignment="1" applyProtection="1">
      <alignment horizontal="center" wrapText="1"/>
    </xf>
    <xf numFmtId="0" fontId="19" fillId="0" borderId="52" xfId="0" applyFont="1" applyBorder="1" applyAlignment="1" applyProtection="1">
      <alignment horizontal="center" wrapText="1"/>
    </xf>
    <xf numFmtId="0" fontId="19" fillId="0" borderId="17" xfId="0" applyFont="1" applyBorder="1" applyAlignment="1" applyProtection="1">
      <alignment horizontal="left" wrapText="1"/>
    </xf>
    <xf numFmtId="0" fontId="19" fillId="0" borderId="52" xfId="0" applyFont="1" applyBorder="1" applyAlignment="1">
      <alignment horizontal="center" wrapText="1"/>
    </xf>
    <xf numFmtId="0" fontId="19" fillId="0" borderId="53" xfId="0" applyFont="1" applyBorder="1" applyAlignment="1" applyProtection="1">
      <alignment wrapText="1"/>
    </xf>
    <xf numFmtId="0" fontId="19" fillId="0" borderId="54" xfId="0" applyFont="1" applyBorder="1" applyAlignment="1" applyProtection="1">
      <alignment horizontal="center" wrapText="1"/>
    </xf>
    <xf numFmtId="0" fontId="19" fillId="0" borderId="55" xfId="0" applyFont="1" applyBorder="1" applyAlignment="1" applyProtection="1">
      <alignment horizontal="center" wrapText="1"/>
    </xf>
    <xf numFmtId="0" fontId="19" fillId="0" borderId="0" xfId="0" applyFont="1" applyFill="1" applyBorder="1" applyAlignment="1" applyProtection="1">
      <alignment horizontal="center" wrapText="1"/>
    </xf>
    <xf numFmtId="0" fontId="4" fillId="0" borderId="20" xfId="0" applyFont="1" applyBorder="1" applyProtection="1"/>
    <xf numFmtId="164" fontId="4" fillId="0" borderId="20" xfId="0" applyNumberFormat="1" applyFont="1" applyBorder="1" applyProtection="1"/>
    <xf numFmtId="0" fontId="7" fillId="3" borderId="56" xfId="5" applyFont="1" applyBorder="1" applyProtection="1">
      <protection locked="0"/>
    </xf>
    <xf numFmtId="0" fontId="19" fillId="0" borderId="1" xfId="0" applyFont="1" applyBorder="1" applyAlignment="1" applyProtection="1">
      <alignment horizontal="left"/>
    </xf>
    <xf numFmtId="0" fontId="19" fillId="0" borderId="1" xfId="0" applyFont="1" applyBorder="1" applyAlignment="1" applyProtection="1">
      <alignment horizontal="center" wrapText="1"/>
    </xf>
    <xf numFmtId="0" fontId="19" fillId="0" borderId="23" xfId="0" applyFont="1" applyBorder="1" applyAlignment="1" applyProtection="1">
      <alignment horizontal="center" wrapText="1"/>
    </xf>
    <xf numFmtId="0" fontId="19" fillId="0" borderId="3" xfId="0" applyFont="1" applyBorder="1" applyAlignment="1" applyProtection="1">
      <alignment horizontal="center" wrapText="1"/>
    </xf>
    <xf numFmtId="0" fontId="19" fillId="0" borderId="33" xfId="0" applyFont="1" applyBorder="1" applyAlignment="1" applyProtection="1">
      <alignment horizontal="center" wrapText="1"/>
    </xf>
    <xf numFmtId="0" fontId="7" fillId="3" borderId="2" xfId="5" applyFont="1" applyBorder="1" applyAlignment="1" applyProtection="1">
      <alignment horizontal="center"/>
      <protection locked="0"/>
    </xf>
    <xf numFmtId="0" fontId="4" fillId="0" borderId="20" xfId="0" applyFont="1" applyBorder="1" applyAlignment="1">
      <alignment horizontal="center"/>
    </xf>
    <xf numFmtId="0" fontId="7" fillId="3" borderId="18" xfId="5" applyFont="1" applyBorder="1" applyAlignment="1" applyProtection="1">
      <alignment horizontal="center"/>
      <protection locked="0"/>
    </xf>
    <xf numFmtId="0" fontId="4" fillId="0" borderId="7" xfId="0" applyFont="1" applyBorder="1" applyAlignment="1" applyProtection="1">
      <alignment horizontal="center"/>
    </xf>
    <xf numFmtId="0" fontId="5" fillId="0" borderId="6" xfId="0" applyFont="1" applyBorder="1" applyAlignment="1" applyProtection="1">
      <alignment horizontal="center"/>
    </xf>
    <xf numFmtId="0" fontId="4" fillId="0" borderId="47" xfId="0" applyFont="1" applyBorder="1"/>
    <xf numFmtId="0" fontId="5" fillId="0" borderId="38" xfId="0" applyFont="1" applyBorder="1" applyAlignment="1" applyProtection="1">
      <alignment horizontal="left" wrapText="1"/>
    </xf>
    <xf numFmtId="0" fontId="19" fillId="0" borderId="57" xfId="0" applyFont="1" applyBorder="1" applyAlignment="1" applyProtection="1">
      <alignment horizontal="center" wrapText="1"/>
    </xf>
    <xf numFmtId="0" fontId="19" fillId="0" borderId="58" xfId="0" applyFont="1" applyBorder="1" applyAlignment="1" applyProtection="1">
      <alignment horizontal="center" wrapText="1"/>
    </xf>
    <xf numFmtId="0" fontId="0" fillId="0" borderId="59" xfId="0" applyBorder="1" applyAlignment="1" applyProtection="1">
      <alignment horizontal="center" wrapText="1"/>
    </xf>
    <xf numFmtId="0" fontId="5" fillId="0" borderId="59" xfId="0" applyFont="1" applyBorder="1" applyAlignment="1" applyProtection="1">
      <alignment horizontal="center"/>
    </xf>
    <xf numFmtId="0" fontId="5" fillId="0" borderId="60" xfId="0" applyFont="1" applyBorder="1" applyAlignment="1" applyProtection="1">
      <alignment horizontal="center"/>
    </xf>
    <xf numFmtId="0" fontId="5" fillId="0" borderId="61" xfId="0" applyFont="1" applyBorder="1" applyAlignment="1" applyProtection="1">
      <alignment horizontal="center"/>
    </xf>
    <xf numFmtId="0" fontId="0" fillId="0" borderId="1" xfId="0" applyNumberFormat="1" applyBorder="1" applyProtection="1"/>
    <xf numFmtId="0" fontId="7" fillId="3" borderId="2" xfId="5" applyNumberFormat="1" applyFont="1" applyAlignment="1" applyProtection="1">
      <alignment horizontal="center"/>
      <protection locked="0"/>
    </xf>
    <xf numFmtId="0" fontId="7" fillId="3" borderId="24" xfId="5" applyFont="1" applyBorder="1" applyAlignment="1" applyProtection="1">
      <alignment horizontal="center"/>
      <protection locked="0"/>
    </xf>
    <xf numFmtId="0" fontId="4" fillId="0" borderId="62" xfId="8" applyNumberFormat="1" applyFont="1" applyBorder="1" applyAlignment="1" applyProtection="1">
      <alignment horizontal="center"/>
      <protection locked="0"/>
    </xf>
    <xf numFmtId="0" fontId="4" fillId="0" borderId="63" xfId="8" applyNumberFormat="1" applyFont="1" applyBorder="1" applyAlignment="1" applyProtection="1">
      <alignment horizontal="center"/>
      <protection locked="0"/>
    </xf>
    <xf numFmtId="0" fontId="7" fillId="3" borderId="56" xfId="5" applyFont="1" applyBorder="1" applyAlignment="1" applyProtection="1">
      <alignment horizontal="center"/>
      <protection locked="0"/>
    </xf>
    <xf numFmtId="0" fontId="7" fillId="3" borderId="64" xfId="5" applyFont="1" applyBorder="1" applyProtection="1">
      <protection locked="0"/>
    </xf>
    <xf numFmtId="164" fontId="4" fillId="0" borderId="1" xfId="0" applyNumberFormat="1" applyFont="1" applyFill="1" applyBorder="1" applyProtection="1"/>
    <xf numFmtId="167" fontId="4" fillId="0" borderId="25" xfId="0" applyNumberFormat="1" applyFont="1" applyBorder="1" applyProtection="1"/>
    <xf numFmtId="0" fontId="4" fillId="0" borderId="2" xfId="7" applyNumberFormat="1" applyFont="1" applyBorder="1" applyProtection="1">
      <protection locked="0"/>
    </xf>
    <xf numFmtId="38" fontId="4" fillId="0" borderId="8" xfId="2" applyNumberFormat="1" applyFont="1" applyBorder="1"/>
    <xf numFmtId="38" fontId="4" fillId="0" borderId="36" xfId="2" applyNumberFormat="1" applyFont="1" applyBorder="1" applyProtection="1"/>
    <xf numFmtId="38" fontId="4" fillId="0" borderId="23" xfId="2" applyNumberFormat="1" applyFont="1" applyBorder="1"/>
    <xf numFmtId="168" fontId="5" fillId="0" borderId="1" xfId="0" applyNumberFormat="1" applyFont="1" applyBorder="1" applyAlignment="1" applyProtection="1">
      <alignment horizontal="center"/>
    </xf>
    <xf numFmtId="168" fontId="4" fillId="0" borderId="30" xfId="0" applyNumberFormat="1" applyFont="1" applyBorder="1" applyAlignment="1" applyProtection="1">
      <alignment horizontal="center"/>
    </xf>
    <xf numFmtId="164" fontId="4" fillId="0" borderId="45" xfId="0" applyNumberFormat="1" applyFont="1" applyFill="1" applyBorder="1" applyProtection="1"/>
    <xf numFmtId="38" fontId="4" fillId="0" borderId="20" xfId="2" applyNumberFormat="1" applyFont="1" applyBorder="1" applyProtection="1"/>
    <xf numFmtId="38" fontId="4" fillId="0" borderId="1" xfId="2" applyNumberFormat="1" applyFont="1" applyBorder="1" applyProtection="1"/>
    <xf numFmtId="0" fontId="5" fillId="0" borderId="0" xfId="0" applyFont="1" applyAlignment="1" applyProtection="1">
      <alignment wrapText="1"/>
    </xf>
    <xf numFmtId="175" fontId="0" fillId="0" borderId="2" xfId="0" applyNumberFormat="1" applyBorder="1" applyProtection="1">
      <protection locked="0"/>
    </xf>
    <xf numFmtId="175" fontId="4" fillId="0" borderId="19" xfId="0" applyNumberFormat="1" applyFont="1" applyBorder="1" applyAlignment="1" applyProtection="1">
      <alignment horizontal="center"/>
      <protection locked="0"/>
    </xf>
    <xf numFmtId="175" fontId="4" fillId="0" borderId="2" xfId="0" applyNumberFormat="1" applyFont="1" applyBorder="1" applyAlignment="1" applyProtection="1">
      <alignment horizontal="center"/>
      <protection locked="0"/>
    </xf>
    <xf numFmtId="175" fontId="4" fillId="0" borderId="2" xfId="0" applyNumberFormat="1" applyFont="1" applyBorder="1" applyAlignment="1" applyProtection="1">
      <protection locked="0"/>
    </xf>
    <xf numFmtId="2" fontId="4" fillId="0" borderId="1" xfId="0" applyNumberFormat="1" applyFont="1" applyBorder="1" applyAlignment="1" applyProtection="1">
      <alignment vertical="top" wrapText="1"/>
    </xf>
    <xf numFmtId="0" fontId="13" fillId="0" borderId="0" xfId="0" applyFont="1" applyBorder="1" applyAlignment="1">
      <alignment horizontal="center" vertical="top" wrapText="1"/>
    </xf>
    <xf numFmtId="0" fontId="13" fillId="0" borderId="0" xfId="0" applyFont="1" applyBorder="1" applyAlignment="1">
      <alignment horizontal="center" wrapText="1"/>
    </xf>
    <xf numFmtId="0" fontId="4" fillId="0" borderId="0" xfId="0" applyFont="1" applyBorder="1" applyAlignment="1">
      <alignment horizontal="center" wrapText="1"/>
    </xf>
    <xf numFmtId="1" fontId="13" fillId="0" borderId="0" xfId="0" applyNumberFormat="1" applyFont="1" applyBorder="1" applyAlignment="1">
      <alignment horizontal="center" wrapText="1"/>
    </xf>
    <xf numFmtId="14" fontId="13" fillId="0" borderId="0" xfId="0" applyNumberFormat="1" applyFont="1" applyBorder="1" applyAlignment="1">
      <alignment horizontal="center" wrapText="1"/>
    </xf>
    <xf numFmtId="164" fontId="13" fillId="0" borderId="0" xfId="0" applyNumberFormat="1" applyFont="1" applyAlignment="1">
      <alignment horizontal="center" wrapText="1"/>
    </xf>
    <xf numFmtId="3" fontId="13" fillId="0" borderId="0" xfId="0" applyNumberFormat="1" applyFont="1" applyAlignment="1">
      <alignment horizontal="center" wrapText="1"/>
    </xf>
    <xf numFmtId="2" fontId="13" fillId="0" borderId="0" xfId="0" applyNumberFormat="1" applyFont="1" applyBorder="1" applyAlignment="1" applyProtection="1">
      <alignment horizontal="center" wrapText="1"/>
    </xf>
    <xf numFmtId="2" fontId="11" fillId="0" borderId="0" xfId="0" applyNumberFormat="1" applyFont="1" applyAlignment="1">
      <alignment horizontal="center" wrapText="1"/>
    </xf>
    <xf numFmtId="2" fontId="13" fillId="0" borderId="0" xfId="0" applyNumberFormat="1" applyFont="1" applyBorder="1" applyAlignment="1">
      <alignment horizontal="center" wrapText="1"/>
    </xf>
    <xf numFmtId="164" fontId="13" fillId="0" borderId="0" xfId="0" applyNumberFormat="1" applyFont="1" applyBorder="1" applyAlignment="1">
      <alignment horizontal="center" vertical="top" wrapText="1"/>
    </xf>
    <xf numFmtId="164" fontId="11" fillId="0" borderId="0" xfId="0" applyNumberFormat="1" applyFont="1" applyAlignment="1">
      <alignment horizontal="center" wrapText="1"/>
    </xf>
    <xf numFmtId="166" fontId="11" fillId="0" borderId="0" xfId="0" applyNumberFormat="1" applyFont="1" applyAlignment="1">
      <alignment horizontal="center" wrapText="1"/>
    </xf>
    <xf numFmtId="169" fontId="4" fillId="0" borderId="2" xfId="0" applyNumberFormat="1" applyFont="1" applyBorder="1" applyAlignment="1" applyProtection="1">
      <protection locked="0"/>
    </xf>
    <xf numFmtId="2" fontId="4" fillId="0" borderId="5" xfId="0" applyNumberFormat="1" applyFont="1" applyBorder="1" applyAlignment="1">
      <alignment horizontal="right"/>
    </xf>
    <xf numFmtId="0" fontId="0" fillId="5" borderId="33" xfId="0" applyFill="1" applyBorder="1" applyAlignment="1" applyProtection="1">
      <alignment horizontal="center" wrapText="1"/>
    </xf>
    <xf numFmtId="168" fontId="4" fillId="0" borderId="30" xfId="0" applyNumberFormat="1" applyFont="1" applyFill="1" applyBorder="1" applyAlignment="1" applyProtection="1">
      <alignment horizontal="center"/>
    </xf>
    <xf numFmtId="168" fontId="5" fillId="0" borderId="1" xfId="0" applyNumberFormat="1" applyFont="1" applyFill="1" applyBorder="1" applyAlignment="1" applyProtection="1">
      <alignment horizontal="center"/>
    </xf>
    <xf numFmtId="164" fontId="4" fillId="0" borderId="23" xfId="0" applyNumberFormat="1" applyFont="1" applyFill="1" applyBorder="1" applyProtection="1"/>
    <xf numFmtId="164" fontId="22" fillId="0" borderId="28" xfId="0" applyNumberFormat="1" applyFont="1" applyFill="1" applyBorder="1" applyAlignment="1" applyProtection="1">
      <alignment horizontal="right"/>
    </xf>
    <xf numFmtId="0" fontId="19" fillId="0" borderId="33" xfId="0" applyFont="1" applyFill="1" applyBorder="1" applyAlignment="1">
      <alignment horizontal="center" wrapText="1"/>
    </xf>
    <xf numFmtId="0" fontId="7" fillId="0" borderId="2" xfId="5" applyFont="1" applyFill="1" applyBorder="1" applyProtection="1">
      <protection locked="0"/>
    </xf>
    <xf numFmtId="164" fontId="4" fillId="0" borderId="30" xfId="0" applyNumberFormat="1" applyFont="1" applyBorder="1" applyProtection="1"/>
    <xf numFmtId="164" fontId="9" fillId="0" borderId="1" xfId="1" applyNumberFormat="1" applyFont="1" applyAlignment="1" applyProtection="1">
      <alignment horizontal="center"/>
    </xf>
    <xf numFmtId="164" fontId="4" fillId="2" borderId="0" xfId="4" applyNumberFormat="1" applyProtection="1"/>
    <xf numFmtId="0" fontId="30" fillId="0" borderId="0" xfId="0" applyFont="1"/>
    <xf numFmtId="164" fontId="4" fillId="0" borderId="2" xfId="0" applyNumberFormat="1" applyFont="1" applyBorder="1" applyProtection="1">
      <protection locked="0"/>
    </xf>
    <xf numFmtId="0" fontId="4" fillId="0" borderId="20" xfId="0" applyFont="1" applyBorder="1" applyAlignment="1" applyProtection="1">
      <alignment horizontal="center"/>
    </xf>
    <xf numFmtId="0" fontId="15" fillId="0" borderId="4" xfId="0" applyFont="1" applyBorder="1" applyAlignment="1" applyProtection="1">
      <alignment horizontal="center" wrapText="1"/>
    </xf>
    <xf numFmtId="0" fontId="0" fillId="0" borderId="3" xfId="0" applyBorder="1" applyAlignment="1"/>
    <xf numFmtId="0" fontId="0" fillId="0" borderId="6" xfId="0" applyBorder="1" applyAlignment="1"/>
    <xf numFmtId="0" fontId="0" fillId="0" borderId="7" xfId="0" applyBorder="1" applyAlignment="1"/>
    <xf numFmtId="0" fontId="19" fillId="0" borderId="65" xfId="0" applyFont="1" applyBorder="1" applyAlignment="1" applyProtection="1">
      <alignment horizontal="center" wrapText="1"/>
    </xf>
    <xf numFmtId="0" fontId="14" fillId="0" borderId="66" xfId="0" applyFont="1" applyBorder="1" applyAlignment="1"/>
    <xf numFmtId="0" fontId="15" fillId="0" borderId="33" xfId="0" applyFont="1" applyBorder="1" applyAlignment="1">
      <alignment horizontal="center" wrapText="1"/>
    </xf>
    <xf numFmtId="0" fontId="14" fillId="0" borderId="17" xfId="0" applyFont="1" applyBorder="1" applyAlignment="1">
      <alignment wrapText="1"/>
    </xf>
    <xf numFmtId="0" fontId="9" fillId="0" borderId="4" xfId="0" applyFont="1" applyBorder="1" applyAlignment="1">
      <alignment horizontal="center"/>
    </xf>
    <xf numFmtId="0" fontId="9" fillId="0" borderId="3" xfId="0" applyFont="1" applyBorder="1" applyAlignment="1">
      <alignment horizontal="center"/>
    </xf>
    <xf numFmtId="0" fontId="20" fillId="0" borderId="0" xfId="0" applyFont="1" applyAlignment="1" applyProtection="1">
      <alignment horizontal="center"/>
    </xf>
    <xf numFmtId="0" fontId="0" fillId="0" borderId="0" xfId="0" applyBorder="1" applyAlignment="1" applyProtection="1">
      <alignment horizontal="right" wrapText="1"/>
    </xf>
    <xf numFmtId="0" fontId="0" fillId="0" borderId="0" xfId="0" applyAlignment="1" applyProtection="1">
      <alignment horizontal="right" wrapText="1"/>
    </xf>
    <xf numFmtId="0" fontId="0" fillId="0" borderId="7" xfId="0" applyBorder="1" applyAlignment="1" applyProtection="1">
      <alignment horizontal="right" wrapText="1"/>
    </xf>
    <xf numFmtId="0" fontId="0" fillId="0" borderId="7" xfId="0" applyBorder="1" applyAlignment="1" applyProtection="1"/>
  </cellXfs>
  <cellStyles count="9">
    <cellStyle name="Boxed_cell" xfId="1"/>
    <cellStyle name="Comma" xfId="2" builtinId="3"/>
    <cellStyle name="documentation" xfId="3"/>
    <cellStyle name="Empty_cell" xfId="4"/>
    <cellStyle name="entry required" xfId="5"/>
    <cellStyle name="green type" xfId="6"/>
    <cellStyle name="Normal" xfId="0" builtinId="0"/>
    <cellStyle name="Normal_WILK_AT1.795" xfId="7"/>
    <cellStyle name="Normal_WILK_HW2.795"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247650</xdr:colOff>
      <xdr:row>0</xdr:row>
      <xdr:rowOff>28575</xdr:rowOff>
    </xdr:from>
    <xdr:to>
      <xdr:col>10</xdr:col>
      <xdr:colOff>647700</xdr:colOff>
      <xdr:row>12</xdr:row>
      <xdr:rowOff>66675</xdr:rowOff>
    </xdr:to>
    <xdr:sp macro="" textlink="">
      <xdr:nvSpPr>
        <xdr:cNvPr id="2049" name="Text Box 1"/>
        <xdr:cNvSpPr txBox="1">
          <a:spLocks noChangeArrowheads="1"/>
        </xdr:cNvSpPr>
      </xdr:nvSpPr>
      <xdr:spPr bwMode="auto">
        <a:xfrm>
          <a:off x="4029075" y="28575"/>
          <a:ext cx="5372100" cy="2028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Spreadsheet Instructions:</a:t>
          </a:r>
        </a:p>
        <a:p>
          <a:pPr algn="l" rtl="0">
            <a:defRPr sz="1000"/>
          </a:pPr>
          <a:r>
            <a:rPr lang="en-US" sz="1000" b="0" i="0" u="none" strike="noStrike" baseline="0">
              <a:solidFill>
                <a:srgbClr val="000000"/>
              </a:solidFill>
              <a:latin typeface="Geneva"/>
            </a:rPr>
            <a:t>1)  Applicable Values should be entered in the Heavy Bordered Blue cells.  The rest of worksheet is protected, password is "2".</a:t>
          </a:r>
        </a:p>
        <a:p>
          <a:pPr algn="l" rtl="0">
            <a:defRPr sz="1000"/>
          </a:pPr>
          <a:r>
            <a:rPr lang="en-US" sz="1000" b="0" i="0" u="none" strike="noStrike" baseline="0">
              <a:solidFill>
                <a:srgbClr val="000000"/>
              </a:solidFill>
              <a:latin typeface="Geneva"/>
            </a:rPr>
            <a:t>2)  Additional pollutants can be added in cells A34 to A42.  Note all Pollutant names are linked from here to other pages in HWA worksheet and also to AT worksheet (i.e., automatically entered into other pages in HWA worksheet and also AT worksheet from HWA worksheet).</a:t>
          </a:r>
        </a:p>
        <a:p>
          <a:pPr algn="l" rtl="0">
            <a:defRPr sz="1000"/>
          </a:pPr>
          <a:r>
            <a:rPr lang="en-US" sz="1000" b="0" i="0" u="none" strike="noStrike" baseline="0">
              <a:solidFill>
                <a:srgbClr val="000000"/>
              </a:solidFill>
              <a:latin typeface="Geneva"/>
            </a:rPr>
            <a:t>3)  Formulas are discussed in the Comprehensive Guidance HWA Chapter.</a:t>
          </a:r>
        </a:p>
        <a:p>
          <a:pPr algn="l" rtl="0">
            <a:defRPr sz="1000"/>
          </a:pPr>
          <a:r>
            <a:rPr lang="en-US" sz="1000" b="0" i="0" u="none" strike="noStrike" baseline="0">
              <a:solidFill>
                <a:srgbClr val="000000"/>
              </a:solidFill>
              <a:latin typeface="Geneva"/>
            </a:rPr>
            <a:t>4)  HWA, AT and HASL worksheets are linked.  MAHLs, Basis, and Uncontrollable load are automatically entered into AT from this worksheet.</a:t>
          </a:r>
        </a:p>
        <a:p>
          <a:pPr algn="l" rtl="0">
            <a:defRPr sz="1000"/>
          </a:pPr>
          <a:r>
            <a:rPr lang="en-US" sz="1000" b="0" i="0" u="none" strike="noStrike" baseline="0">
              <a:solidFill>
                <a:srgbClr val="000000"/>
              </a:solidFill>
              <a:latin typeface="Geneva"/>
            </a:rPr>
            <a:t>5) If red tab notes are not visible, they can be turned on in the "</a:t>
          </a:r>
          <a:r>
            <a:rPr lang="en-US" sz="1000" b="1" i="0" u="none" strike="noStrike" baseline="0">
              <a:solidFill>
                <a:srgbClr val="000000"/>
              </a:solidFill>
              <a:latin typeface="Geneva"/>
            </a:rPr>
            <a:t>Tools</a:t>
          </a:r>
          <a:r>
            <a:rPr lang="en-US" sz="1000" b="0" i="0" u="none" strike="noStrike" baseline="0">
              <a:solidFill>
                <a:srgbClr val="000000"/>
              </a:solidFill>
              <a:latin typeface="Geneva"/>
            </a:rPr>
            <a:t>" menu under "</a:t>
          </a:r>
          <a:r>
            <a:rPr lang="en-US" sz="1000" b="1" i="0" u="none" strike="noStrike" baseline="0">
              <a:solidFill>
                <a:srgbClr val="000000"/>
              </a:solidFill>
              <a:latin typeface="Geneva"/>
            </a:rPr>
            <a:t>options</a:t>
          </a:r>
          <a:r>
            <a:rPr lang="en-US" sz="1000" b="0" i="0" u="none" strike="noStrike" baseline="0">
              <a:solidFill>
                <a:srgbClr val="000000"/>
              </a:solidFill>
              <a:latin typeface="Geneva"/>
            </a:rPr>
            <a:t>", in the "</a:t>
          </a:r>
          <a:r>
            <a:rPr lang="en-US" sz="1000" b="1" i="0" u="none" strike="noStrike" baseline="0">
              <a:solidFill>
                <a:srgbClr val="000000"/>
              </a:solidFill>
              <a:latin typeface="Geneva"/>
            </a:rPr>
            <a:t>view</a:t>
          </a:r>
          <a:r>
            <a:rPr lang="en-US" sz="1000" b="0" i="0" u="none" strike="noStrike" baseline="0">
              <a:solidFill>
                <a:srgbClr val="000000"/>
              </a:solidFill>
              <a:latin typeface="Geneva"/>
            </a:rPr>
            <a:t>" tab click the "</a:t>
          </a:r>
          <a:r>
            <a:rPr lang="en-US" sz="1000" b="1" i="0" u="none" strike="noStrike" baseline="0">
              <a:solidFill>
                <a:srgbClr val="000000"/>
              </a:solidFill>
              <a:latin typeface="Geneva"/>
            </a:rPr>
            <a:t>comment indicator only</a:t>
          </a:r>
          <a:r>
            <a:rPr lang="en-US" sz="1000" b="0" i="0" u="none" strike="noStrike" baseline="0">
              <a:solidFill>
                <a:srgbClr val="000000"/>
              </a:solidFill>
              <a:latin typeface="Geneva"/>
            </a:rPr>
            <a:t>" button.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0</xdr:row>
      <xdr:rowOff>38100</xdr:rowOff>
    </xdr:from>
    <xdr:to>
      <xdr:col>12</xdr:col>
      <xdr:colOff>57150</xdr:colOff>
      <xdr:row>6</xdr:row>
      <xdr:rowOff>114300</xdr:rowOff>
    </xdr:to>
    <xdr:sp macro="" textlink="">
      <xdr:nvSpPr>
        <xdr:cNvPr id="1025" name="Text Box 1"/>
        <xdr:cNvSpPr txBox="1">
          <a:spLocks noChangeArrowheads="1"/>
        </xdr:cNvSpPr>
      </xdr:nvSpPr>
      <xdr:spPr bwMode="auto">
        <a:xfrm>
          <a:off x="3352800" y="38100"/>
          <a:ext cx="4962525" cy="1133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Geneva"/>
            </a:rPr>
            <a:t>Spreadsheet Instructions:</a:t>
          </a:r>
        </a:p>
        <a:p>
          <a:pPr algn="l" rtl="0">
            <a:defRPr sz="1000"/>
          </a:pPr>
          <a:r>
            <a:rPr lang="en-US" sz="800" b="0" i="0" u="none" strike="noStrike" baseline="0">
              <a:solidFill>
                <a:srgbClr val="000000"/>
              </a:solidFill>
              <a:latin typeface="Geneva"/>
            </a:rPr>
            <a:t>1) Applicable Values should be entered in the Heavy Bordered cells.  Rest of worksheet is protected, password is "2".</a:t>
          </a:r>
        </a:p>
        <a:p>
          <a:pPr algn="l" rtl="0">
            <a:defRPr sz="1000"/>
          </a:pPr>
          <a:r>
            <a:rPr lang="en-US" sz="800" b="0" i="0" u="none" strike="noStrike" baseline="0">
              <a:solidFill>
                <a:srgbClr val="000000"/>
              </a:solidFill>
              <a:latin typeface="Geneva"/>
            </a:rPr>
            <a:t>2) Formulas are discussed in the Comprehensive Guidance, Chapter 6, Section C.</a:t>
          </a:r>
        </a:p>
        <a:p>
          <a:pPr algn="l" rtl="0">
            <a:defRPr sz="1000"/>
          </a:pPr>
          <a:r>
            <a:rPr lang="en-US" sz="800" b="0" i="0" u="none" strike="noStrike" baseline="0">
              <a:solidFill>
                <a:srgbClr val="000000"/>
              </a:solidFill>
              <a:latin typeface="Geneva"/>
            </a:rPr>
            <a:t>3) HWA and AT worksheets in this workbook are linked.  Pollutant Names, MAHLs, Basis, and Uncontrollable load in this AT worksheet are automatically entered from the HWA spreadsheet.  This includes pollutant names in columns AT through BK.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504825</xdr:colOff>
      <xdr:row>1</xdr:row>
      <xdr:rowOff>190500</xdr:rowOff>
    </xdr:from>
    <xdr:to>
      <xdr:col>9</xdr:col>
      <xdr:colOff>419100</xdr:colOff>
      <xdr:row>13</xdr:row>
      <xdr:rowOff>152400</xdr:rowOff>
    </xdr:to>
    <xdr:sp macro="" textlink="">
      <xdr:nvSpPr>
        <xdr:cNvPr id="3073" name="Text Box 1"/>
        <xdr:cNvSpPr txBox="1">
          <a:spLocks noChangeArrowheads="1"/>
        </xdr:cNvSpPr>
      </xdr:nvSpPr>
      <xdr:spPr bwMode="auto">
        <a:xfrm>
          <a:off x="3552825" y="419100"/>
          <a:ext cx="4391025" cy="2019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Tms Rmn"/>
            </a:rPr>
            <a:t>Spreadsheet Instructions:</a:t>
          </a:r>
        </a:p>
        <a:p>
          <a:pPr algn="l" rtl="0">
            <a:defRPr sz="1000"/>
          </a:pPr>
          <a:endParaRPr lang="en-US" sz="1100" b="0" i="0" u="none" strike="noStrike" baseline="0">
            <a:solidFill>
              <a:srgbClr val="000000"/>
            </a:solidFill>
            <a:latin typeface="Tms Rmn"/>
          </a:endParaRPr>
        </a:p>
        <a:p>
          <a:pPr algn="l" rtl="0">
            <a:defRPr sz="1000"/>
          </a:pPr>
          <a:r>
            <a:rPr lang="en-US" sz="1100" b="0" i="0" u="none" strike="noStrike" baseline="0">
              <a:solidFill>
                <a:srgbClr val="000000"/>
              </a:solidFill>
              <a:latin typeface="Tms Rmn"/>
            </a:rPr>
            <a:t>1)  Data entered only in Heavy Bordered cells.  Rest of worksheet is protected, password is "2".</a:t>
          </a:r>
        </a:p>
        <a:p>
          <a:pPr algn="l" rtl="0">
            <a:defRPr sz="1000"/>
          </a:pPr>
          <a:endParaRPr lang="en-US" sz="1100" b="0" i="0" u="none" strike="noStrike" baseline="0">
            <a:solidFill>
              <a:srgbClr val="000000"/>
            </a:solidFill>
            <a:latin typeface="Tms Rmn"/>
          </a:endParaRPr>
        </a:p>
        <a:p>
          <a:pPr algn="l" rtl="0">
            <a:defRPr sz="1000"/>
          </a:pPr>
          <a:r>
            <a:rPr lang="en-US" sz="1100" b="0" i="0" u="none" strike="noStrike" baseline="0">
              <a:solidFill>
                <a:srgbClr val="000000"/>
              </a:solidFill>
              <a:latin typeface="Tms Rmn"/>
            </a:rPr>
            <a:t>2) This spreadsheet changes based on the class of sludge generated inputted in cell C13 of the HWA spreadsheet.  The title and the limits in column G of this spreadsheet are updated automatically.</a:t>
          </a:r>
        </a:p>
        <a:p>
          <a:pPr algn="l" rtl="0">
            <a:defRPr sz="1000"/>
          </a:pPr>
          <a:endParaRPr lang="en-US" sz="1100" b="0" i="0" u="none" strike="noStrike" baseline="0">
            <a:solidFill>
              <a:srgbClr val="000000"/>
            </a:solidFill>
            <a:latin typeface="Tms Rmn"/>
          </a:endParaRPr>
        </a:p>
        <a:p>
          <a:pPr algn="l" rtl="0">
            <a:defRPr sz="1000"/>
          </a:pPr>
          <a:r>
            <a:rPr lang="en-US" sz="1100" b="0" i="0" u="none" strike="noStrike" baseline="0">
              <a:solidFill>
                <a:srgbClr val="000000"/>
              </a:solidFill>
              <a:latin typeface="Tms Rmn"/>
            </a:rPr>
            <a:t>3) Formulas in Comprehensive Guidance HWA Chapter, Section 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S159"/>
  <sheetViews>
    <sheetView tabSelected="1" zoomScaleNormal="100" workbookViewId="0">
      <selection activeCell="D1" sqref="D1"/>
    </sheetView>
  </sheetViews>
  <sheetFormatPr defaultColWidth="8.7109375" defaultRowHeight="12.75"/>
  <cols>
    <col min="1" max="1" width="13.42578125" style="1" customWidth="1"/>
    <col min="2" max="2" width="14.85546875" style="1" customWidth="1"/>
    <col min="3" max="3" width="13.85546875" style="1" customWidth="1"/>
    <col min="4" max="4" width="14.5703125" style="1" customWidth="1"/>
    <col min="5" max="5" width="14" style="1" customWidth="1"/>
    <col min="6" max="6" width="12.140625" style="1" customWidth="1"/>
    <col min="7" max="7" width="12.42578125" style="1" customWidth="1"/>
    <col min="8" max="8" width="11.5703125" style="1" customWidth="1"/>
    <col min="9" max="9" width="14.7109375" style="1" customWidth="1"/>
    <col min="10" max="10" width="9.7109375" style="1" customWidth="1"/>
    <col min="11" max="11" width="9.85546875" style="1" customWidth="1"/>
    <col min="12" max="16384" width="8.7109375" style="1"/>
  </cols>
  <sheetData>
    <row r="1" spans="1:10" ht="13.5" thickBot="1">
      <c r="A1" s="1" t="s">
        <v>0</v>
      </c>
    </row>
    <row r="2" spans="1:10" ht="14.25" thickTop="1" thickBot="1">
      <c r="A2" s="2"/>
      <c r="B2" s="9" t="s">
        <v>1</v>
      </c>
      <c r="C2" s="166"/>
      <c r="F2" s="2"/>
      <c r="G2" s="2"/>
      <c r="H2" s="2"/>
      <c r="I2" s="2"/>
      <c r="J2" s="2"/>
    </row>
    <row r="3" spans="1:10" ht="14.25" thickTop="1" thickBot="1">
      <c r="A3" s="2"/>
      <c r="B3" s="9" t="s">
        <v>2</v>
      </c>
      <c r="C3" s="24"/>
      <c r="E3" s="11"/>
      <c r="F3" s="2"/>
      <c r="G3" s="2"/>
      <c r="H3" s="2"/>
      <c r="I3" s="2"/>
      <c r="J3" s="2"/>
    </row>
    <row r="4" spans="1:10" ht="14.25" thickTop="1" thickBot="1">
      <c r="A4" s="2"/>
      <c r="B4" s="168" t="s">
        <v>83</v>
      </c>
      <c r="C4" s="175"/>
      <c r="E4" s="11"/>
      <c r="F4" s="2"/>
      <c r="G4" s="2"/>
      <c r="H4" s="2"/>
      <c r="I4" s="2"/>
      <c r="J4" s="2"/>
    </row>
    <row r="5" spans="1:10" ht="14.25" thickTop="1" thickBot="1">
      <c r="A5" s="2"/>
      <c r="B5" s="168" t="s">
        <v>86</v>
      </c>
      <c r="C5" s="175"/>
      <c r="E5" s="11"/>
      <c r="F5" s="2"/>
      <c r="G5" s="2"/>
      <c r="H5" s="2"/>
      <c r="I5" s="2"/>
      <c r="J5" s="2"/>
    </row>
    <row r="6" spans="1:10" ht="7.5" customHeight="1" thickTop="1" thickBot="1">
      <c r="A6" s="2"/>
      <c r="B6" s="9"/>
      <c r="C6" s="176"/>
      <c r="E6" s="11"/>
      <c r="F6" s="2"/>
      <c r="G6" s="2"/>
      <c r="H6" s="2"/>
      <c r="I6" s="2"/>
      <c r="J6" s="2"/>
    </row>
    <row r="7" spans="1:10" ht="14.25" thickTop="1" thickBot="1">
      <c r="A7" s="2"/>
      <c r="B7" s="164" t="s">
        <v>76</v>
      </c>
      <c r="C7" s="323"/>
      <c r="D7" s="162" t="s">
        <v>77</v>
      </c>
      <c r="E7" s="11"/>
      <c r="F7" s="2"/>
      <c r="G7" s="2"/>
      <c r="H7" s="2"/>
      <c r="I7" s="2"/>
      <c r="J7" s="2"/>
    </row>
    <row r="8" spans="1:10" ht="14.25" thickTop="1" thickBot="1">
      <c r="A8" s="12"/>
      <c r="B8" s="9" t="s">
        <v>75</v>
      </c>
      <c r="C8" s="166"/>
      <c r="D8" s="163" t="s">
        <v>78</v>
      </c>
      <c r="E8" s="13"/>
      <c r="F8" s="2"/>
      <c r="G8" s="2"/>
      <c r="H8" s="2"/>
      <c r="I8" s="2"/>
      <c r="J8" s="2"/>
    </row>
    <row r="9" spans="1:10" ht="14.25" thickTop="1" thickBot="1">
      <c r="A9" s="12"/>
      <c r="B9" s="9" t="s">
        <v>74</v>
      </c>
      <c r="C9" s="166"/>
      <c r="D9" s="2"/>
      <c r="E9" s="13"/>
      <c r="F9" s="2"/>
      <c r="G9" s="2"/>
      <c r="H9" s="2"/>
      <c r="I9" s="2"/>
      <c r="J9" s="2"/>
    </row>
    <row r="10" spans="1:10" ht="14.25" thickTop="1" thickBot="1">
      <c r="A10" s="12"/>
      <c r="B10" s="9" t="s">
        <v>3</v>
      </c>
      <c r="C10" s="309"/>
      <c r="D10" s="2"/>
      <c r="E10" s="13"/>
      <c r="F10" s="2"/>
      <c r="G10" s="2"/>
      <c r="H10" s="2"/>
      <c r="I10" s="2"/>
      <c r="J10" s="2"/>
    </row>
    <row r="11" spans="1:10" ht="14.25" thickTop="1" thickBot="1">
      <c r="A11" s="12"/>
      <c r="B11" s="9" t="s">
        <v>165</v>
      </c>
      <c r="C11" s="309"/>
      <c r="D11" s="2"/>
      <c r="E11" s="13"/>
      <c r="F11" s="2"/>
      <c r="G11" s="2"/>
      <c r="H11" s="2"/>
      <c r="I11" s="2"/>
      <c r="J11" s="2"/>
    </row>
    <row r="12" spans="1:10" ht="7.5" customHeight="1" thickTop="1" thickBot="1">
      <c r="A12" s="12"/>
      <c r="B12" s="9"/>
      <c r="C12" s="324"/>
      <c r="D12" s="2"/>
      <c r="E12" s="13"/>
      <c r="F12" s="2"/>
      <c r="G12" s="2"/>
      <c r="H12" s="2"/>
      <c r="I12" s="2"/>
      <c r="J12" s="2"/>
    </row>
    <row r="13" spans="1:10" ht="14.25" thickTop="1" thickBot="1">
      <c r="A13" s="12"/>
      <c r="B13" s="12" t="s">
        <v>80</v>
      </c>
      <c r="C13" s="166"/>
      <c r="D13" s="2"/>
      <c r="E13" s="13"/>
      <c r="F13" s="2"/>
      <c r="G13" s="2"/>
      <c r="H13" s="2"/>
      <c r="I13" s="2"/>
      <c r="J13" s="2"/>
    </row>
    <row r="14" spans="1:10" ht="14.25" thickTop="1" thickBot="1">
      <c r="A14" s="12"/>
      <c r="B14" s="9" t="s">
        <v>4</v>
      </c>
      <c r="C14" s="166"/>
      <c r="D14" s="14"/>
      <c r="E14" s="13"/>
      <c r="F14" s="2"/>
      <c r="H14" s="374" t="s">
        <v>172</v>
      </c>
      <c r="I14" s="375"/>
      <c r="J14" s="380" t="s">
        <v>173</v>
      </c>
    </row>
    <row r="15" spans="1:10" ht="14.25" customHeight="1" thickTop="1" thickBot="1">
      <c r="A15" s="12"/>
      <c r="B15" s="9" t="s">
        <v>5</v>
      </c>
      <c r="C15" s="166"/>
      <c r="D15" s="14"/>
      <c r="G15" s="312"/>
      <c r="H15" s="376"/>
      <c r="I15" s="377"/>
      <c r="J15" s="381"/>
    </row>
    <row r="16" spans="1:10" ht="14.25" thickTop="1" thickBot="1">
      <c r="A16" s="12"/>
      <c r="B16" s="9" t="s">
        <v>6</v>
      </c>
      <c r="C16" s="166"/>
      <c r="E16" s="2"/>
      <c r="F16" s="2"/>
      <c r="G16" s="312" t="s">
        <v>154</v>
      </c>
      <c r="H16" s="310" t="s">
        <v>171</v>
      </c>
      <c r="I16" s="373" t="s">
        <v>186</v>
      </c>
      <c r="J16" s="381"/>
    </row>
    <row r="17" spans="1:11" ht="14.25" thickTop="1" thickBot="1">
      <c r="A17" s="12"/>
      <c r="B17" s="9" t="s">
        <v>7</v>
      </c>
      <c r="C17" s="166"/>
      <c r="E17" s="12"/>
      <c r="F17" s="9" t="s">
        <v>155</v>
      </c>
      <c r="G17" s="309"/>
      <c r="H17" s="336" t="str">
        <f>IF(E24="", "", E24/8.34/C$8)</f>
        <v/>
      </c>
      <c r="I17" s="335" t="str">
        <f>IF(E24 = "", "", E24/8.34/C$7)</f>
        <v/>
      </c>
      <c r="J17" s="153"/>
    </row>
    <row r="18" spans="1:11" ht="14.25" thickTop="1" thickBot="1">
      <c r="A18" s="12"/>
      <c r="B18" s="9" t="s">
        <v>8</v>
      </c>
      <c r="C18" s="166"/>
      <c r="E18" s="12"/>
      <c r="F18" s="9" t="s">
        <v>156</v>
      </c>
      <c r="G18" s="166"/>
      <c r="H18" s="336" t="str">
        <f>IF(E25="", "", E25/8.34/C$8)</f>
        <v/>
      </c>
      <c r="I18" s="335" t="str">
        <f>IF(E25 = "", "", E25/8.34/C$7)</f>
        <v/>
      </c>
      <c r="J18" s="153"/>
    </row>
    <row r="19" spans="1:11" ht="15" customHeight="1" thickTop="1" thickBot="1">
      <c r="A19" s="16"/>
      <c r="B19" s="12" t="s">
        <v>9</v>
      </c>
      <c r="C19" s="166"/>
      <c r="E19" s="12"/>
      <c r="F19" s="9" t="s">
        <v>157</v>
      </c>
      <c r="G19" s="166"/>
      <c r="H19" s="336" t="str">
        <f>IF(E26="", "", E26/8.34/C$8)</f>
        <v/>
      </c>
      <c r="I19" s="335" t="str">
        <f>IF(E26 = "", "", E26/8.34/C$7)</f>
        <v/>
      </c>
      <c r="J19" s="153"/>
    </row>
    <row r="20" spans="1:11" ht="14.25" thickTop="1" thickBot="1">
      <c r="A20" s="16"/>
      <c r="B20" s="12"/>
      <c r="C20" s="2"/>
      <c r="E20" s="12"/>
      <c r="F20" s="9" t="s">
        <v>158</v>
      </c>
      <c r="G20" s="166"/>
      <c r="H20" s="362" t="str">
        <f>+IF(E39="","",E39/8.34/C$8)</f>
        <v/>
      </c>
      <c r="I20" s="363" t="str">
        <f>IF(E39="","",E39/8.34/C$7)</f>
        <v/>
      </c>
      <c r="J20" s="153"/>
    </row>
    <row r="21" spans="1:11" ht="14.25" thickTop="1" thickBot="1">
      <c r="A21" s="17" t="s">
        <v>10</v>
      </c>
      <c r="B21" s="23"/>
      <c r="C21" s="23"/>
      <c r="D21" s="23"/>
      <c r="E21" s="12"/>
      <c r="F21" s="9" t="s">
        <v>159</v>
      </c>
      <c r="G21" s="166"/>
      <c r="H21" s="362" t="str">
        <f>+IF(E40="","",E40/8.34/C$8)</f>
        <v/>
      </c>
      <c r="I21" s="363" t="str">
        <f>IF(E40="","",E40/8.34/C$7)</f>
        <v/>
      </c>
      <c r="J21" s="153"/>
    </row>
    <row r="22" spans="1:11" ht="6" customHeight="1" thickTop="1" thickBot="1">
      <c r="A22" s="17"/>
      <c r="B22" s="23"/>
      <c r="C22" s="23"/>
      <c r="D22" s="23"/>
      <c r="E22" s="12"/>
      <c r="F22" s="9"/>
      <c r="G22" s="311"/>
      <c r="H22" s="312"/>
      <c r="I22" s="313"/>
      <c r="J22" s="50"/>
    </row>
    <row r="23" spans="1:11" ht="45" customHeight="1" thickBot="1">
      <c r="A23" s="315" t="s">
        <v>12</v>
      </c>
      <c r="B23" s="316" t="s">
        <v>124</v>
      </c>
      <c r="C23" s="316" t="s">
        <v>170</v>
      </c>
      <c r="D23" s="316" t="s">
        <v>125</v>
      </c>
      <c r="E23" s="316" t="s">
        <v>126</v>
      </c>
      <c r="F23" s="316" t="s">
        <v>148</v>
      </c>
      <c r="G23" s="316" t="s">
        <v>127</v>
      </c>
      <c r="H23" s="316" t="s">
        <v>128</v>
      </c>
      <c r="I23" s="253" t="s">
        <v>129</v>
      </c>
      <c r="J23" s="252" t="s">
        <v>130</v>
      </c>
      <c r="K23" s="317" t="s">
        <v>131</v>
      </c>
    </row>
    <row r="24" spans="1:11" ht="14.25" thickTop="1" thickBot="1">
      <c r="A24" s="301" t="s">
        <v>13</v>
      </c>
      <c r="B24" s="325"/>
      <c r="C24" s="327"/>
      <c r="D24" s="328"/>
      <c r="E24" s="338" t="str">
        <f>IF(OR($B24="",$C24=""),"",8.34*$C$8*$B24/(1-($C24/100)))</f>
        <v/>
      </c>
      <c r="F24" s="303"/>
      <c r="G24" s="303"/>
      <c r="H24" s="302" t="str">
        <f t="shared" ref="H24:H47" si="0">IF(OR($F24="",$C24="",$C$8=""),"",8.34*(($C$8+$C$10)*$F24)/(1-($C24/100)))</f>
        <v/>
      </c>
      <c r="I24" s="332" t="str">
        <f>IF(G17="","",+G17*C$7*8.34)</f>
        <v/>
      </c>
      <c r="J24" s="333" t="str">
        <f>IF(AND(E24="",H24="",J17=""),"",IF(J17="x",MIN(H24,I24),MIN(E24,H24))*1)</f>
        <v/>
      </c>
      <c r="K24" s="314" t="str">
        <f>IF(J24="","",IF(J24=E24,"NPDES",IF(J24=H24,"Stream Std","Design")))</f>
        <v/>
      </c>
    </row>
    <row r="25" spans="1:11" ht="14.25" thickTop="1" thickBot="1">
      <c r="A25" s="18" t="s">
        <v>14</v>
      </c>
      <c r="B25" s="326"/>
      <c r="C25" s="166"/>
      <c r="D25" s="328"/>
      <c r="E25" s="339" t="str">
        <f t="shared" ref="E25:E47" si="1">IF(OR($B25="",$C25=""),"",8.34*$C$8*$B25/(1-($C25/100)))</f>
        <v/>
      </c>
      <c r="F25" s="10"/>
      <c r="G25" s="10"/>
      <c r="H25" s="4" t="str">
        <f t="shared" si="0"/>
        <v/>
      </c>
      <c r="I25" s="334" t="str">
        <f>IF(G18="","",+G18*C$7*8.34)</f>
        <v/>
      </c>
      <c r="J25" s="333" t="str">
        <f>IF(AND(E25="",H25="",J18=""),"",IF(J18="x",MIN(H25,I25),MIN(E25,H25))*1)</f>
        <v/>
      </c>
      <c r="K25" s="270" t="str">
        <f>IF(J25="","",IF(J25=E25,"NPDES",IF(J25=H25,"Stream Std","Design")))</f>
        <v/>
      </c>
    </row>
    <row r="26" spans="1:11" ht="14.25" thickTop="1" thickBot="1">
      <c r="A26" s="18" t="s">
        <v>15</v>
      </c>
      <c r="B26" s="326"/>
      <c r="C26" s="166"/>
      <c r="D26" s="367"/>
      <c r="E26" s="339" t="str">
        <f t="shared" si="1"/>
        <v/>
      </c>
      <c r="F26" s="10"/>
      <c r="G26" s="10"/>
      <c r="H26" s="4" t="str">
        <f t="shared" si="0"/>
        <v/>
      </c>
      <c r="I26" s="334" t="str">
        <f>IF(G19="","",+G19*C$7*8.34)</f>
        <v/>
      </c>
      <c r="J26" s="333" t="str">
        <f>IF(AND(E26="",H26="",J19=""),"",IF(J19="x",MIN(H26,I26),MIN(E26,H26))*1)</f>
        <v/>
      </c>
      <c r="K26" s="270" t="str">
        <f>IF(J26="","",IF(J26=E26,"NPDES",IF(J26=H26,"Stream Std","Design")))</f>
        <v/>
      </c>
    </row>
    <row r="27" spans="1:11" ht="14.25" thickTop="1" thickBot="1">
      <c r="A27" s="18" t="s">
        <v>16</v>
      </c>
      <c r="B27" s="174"/>
      <c r="C27" s="166"/>
      <c r="D27" s="372"/>
      <c r="E27" s="4" t="str">
        <f t="shared" si="1"/>
        <v/>
      </c>
      <c r="F27" s="10"/>
      <c r="G27" s="10"/>
      <c r="H27" s="4" t="str">
        <f t="shared" si="0"/>
        <v/>
      </c>
      <c r="I27" s="268"/>
      <c r="J27" s="265" t="str">
        <f>IF(MIN(E27,H27,I27)=0,"",MIN(E27,H27,I27))</f>
        <v/>
      </c>
      <c r="K27" s="270" t="str">
        <f>IF(J27="","",IF(J27=E27,"NPDES","Stream Std"))</f>
        <v/>
      </c>
    </row>
    <row r="28" spans="1:11" ht="14.25" thickTop="1" thickBot="1">
      <c r="A28" s="18" t="s">
        <v>17</v>
      </c>
      <c r="B28" s="174"/>
      <c r="C28" s="166"/>
      <c r="D28" s="372"/>
      <c r="E28" s="4" t="str">
        <f t="shared" si="1"/>
        <v/>
      </c>
      <c r="F28" s="10"/>
      <c r="G28" s="10"/>
      <c r="H28" s="4" t="str">
        <f t="shared" si="0"/>
        <v/>
      </c>
      <c r="J28" s="265" t="str">
        <f t="shared" ref="J28:J38" si="2">IF(MIN(E28,H28,I28)=0,"",MIN(E28,H28,I28))</f>
        <v/>
      </c>
      <c r="K28" s="270" t="str">
        <f t="shared" ref="K28:K38" si="3">IF(J28="","",IF(J28=E28,"NPDES","Stream Std"))</f>
        <v/>
      </c>
    </row>
    <row r="29" spans="1:11" s="3" customFormat="1" ht="14.25" thickTop="1" thickBot="1">
      <c r="A29" s="19" t="s">
        <v>18</v>
      </c>
      <c r="B29" s="174"/>
      <c r="C29" s="166"/>
      <c r="D29" s="174"/>
      <c r="E29" s="4" t="str">
        <f t="shared" si="1"/>
        <v/>
      </c>
      <c r="F29" s="10"/>
      <c r="G29" s="10"/>
      <c r="H29" s="4" t="str">
        <f t="shared" si="0"/>
        <v/>
      </c>
      <c r="I29" s="269"/>
      <c r="J29" s="265" t="str">
        <f t="shared" si="2"/>
        <v/>
      </c>
      <c r="K29" s="270" t="str">
        <f t="shared" si="3"/>
        <v/>
      </c>
    </row>
    <row r="30" spans="1:11" ht="14.25" thickTop="1" thickBot="1">
      <c r="A30" s="18" t="s">
        <v>19</v>
      </c>
      <c r="B30" s="174"/>
      <c r="C30" s="166"/>
      <c r="D30" s="328"/>
      <c r="E30" s="4" t="str">
        <f t="shared" si="1"/>
        <v/>
      </c>
      <c r="F30" s="10"/>
      <c r="G30" s="10"/>
      <c r="H30" s="4" t="str">
        <f t="shared" si="0"/>
        <v/>
      </c>
      <c r="I30" s="268"/>
      <c r="J30" s="265" t="str">
        <f t="shared" si="2"/>
        <v/>
      </c>
      <c r="K30" s="270" t="str">
        <f t="shared" si="3"/>
        <v/>
      </c>
    </row>
    <row r="31" spans="1:11" ht="14.25" thickTop="1" thickBot="1">
      <c r="A31" s="18" t="s">
        <v>20</v>
      </c>
      <c r="B31" s="326"/>
      <c r="C31" s="166"/>
      <c r="D31" s="328"/>
      <c r="E31" s="4" t="str">
        <f t="shared" si="1"/>
        <v/>
      </c>
      <c r="F31" s="10"/>
      <c r="G31" s="10"/>
      <c r="H31" s="4" t="str">
        <f t="shared" si="0"/>
        <v/>
      </c>
      <c r="I31" s="268"/>
      <c r="J31" s="265" t="str">
        <f t="shared" si="2"/>
        <v/>
      </c>
      <c r="K31" s="270" t="str">
        <f t="shared" si="3"/>
        <v/>
      </c>
    </row>
    <row r="32" spans="1:11" ht="14.25" thickTop="1" thickBot="1">
      <c r="A32" s="18" t="s">
        <v>21</v>
      </c>
      <c r="B32" s="174"/>
      <c r="C32" s="166"/>
      <c r="D32" s="328"/>
      <c r="E32" s="4" t="str">
        <f t="shared" si="1"/>
        <v/>
      </c>
      <c r="F32" s="10"/>
      <c r="G32" s="10"/>
      <c r="H32" s="4" t="str">
        <f t="shared" si="0"/>
        <v/>
      </c>
      <c r="I32" s="268"/>
      <c r="J32" s="265" t="str">
        <f t="shared" si="2"/>
        <v/>
      </c>
      <c r="K32" s="270" t="str">
        <f t="shared" si="3"/>
        <v/>
      </c>
    </row>
    <row r="33" spans="1:11" ht="14.25" thickTop="1" thickBot="1">
      <c r="A33" s="18" t="s">
        <v>22</v>
      </c>
      <c r="B33" s="326"/>
      <c r="C33" s="166"/>
      <c r="D33" s="328"/>
      <c r="E33" s="20" t="str">
        <f t="shared" si="1"/>
        <v/>
      </c>
      <c r="F33" s="10"/>
      <c r="G33" s="10"/>
      <c r="H33" s="20" t="str">
        <f t="shared" si="0"/>
        <v/>
      </c>
      <c r="I33" s="268"/>
      <c r="J33" s="288" t="str">
        <f t="shared" si="2"/>
        <v/>
      </c>
      <c r="K33" s="270" t="str">
        <f t="shared" si="3"/>
        <v/>
      </c>
    </row>
    <row r="34" spans="1:11" ht="14.25" thickTop="1" thickBot="1">
      <c r="A34" s="18" t="s">
        <v>23</v>
      </c>
      <c r="B34" s="10"/>
      <c r="C34" s="166"/>
      <c r="D34" s="328"/>
      <c r="E34" s="4" t="str">
        <f t="shared" si="1"/>
        <v/>
      </c>
      <c r="F34" s="10"/>
      <c r="G34" s="10"/>
      <c r="H34" s="4" t="str">
        <f t="shared" si="0"/>
        <v/>
      </c>
      <c r="I34" s="268"/>
      <c r="J34" s="265" t="str">
        <f t="shared" si="2"/>
        <v/>
      </c>
      <c r="K34" s="270" t="str">
        <f t="shared" si="3"/>
        <v/>
      </c>
    </row>
    <row r="35" spans="1:11" ht="14.25" thickTop="1" thickBot="1">
      <c r="A35" s="18" t="s">
        <v>24</v>
      </c>
      <c r="B35" s="10"/>
      <c r="C35" s="166"/>
      <c r="D35" s="372"/>
      <c r="E35" s="368" t="str">
        <f t="shared" si="1"/>
        <v/>
      </c>
      <c r="F35" s="10"/>
      <c r="G35" s="10"/>
      <c r="H35" s="4" t="str">
        <f t="shared" si="0"/>
        <v/>
      </c>
      <c r="I35" s="268"/>
      <c r="J35" s="265" t="str">
        <f t="shared" si="2"/>
        <v/>
      </c>
      <c r="K35" s="270" t="str">
        <f t="shared" si="3"/>
        <v/>
      </c>
    </row>
    <row r="36" spans="1:11" ht="14.25" thickTop="1" thickBot="1">
      <c r="A36" s="18" t="s">
        <v>25</v>
      </c>
      <c r="B36" s="10"/>
      <c r="C36" s="166"/>
      <c r="D36" s="328"/>
      <c r="E36" s="4" t="str">
        <f t="shared" si="1"/>
        <v/>
      </c>
      <c r="F36" s="10"/>
      <c r="G36" s="10"/>
      <c r="H36" s="4" t="str">
        <f t="shared" si="0"/>
        <v/>
      </c>
      <c r="I36" s="268"/>
      <c r="J36" s="265" t="str">
        <f t="shared" si="2"/>
        <v/>
      </c>
      <c r="K36" s="270" t="str">
        <f t="shared" si="3"/>
        <v/>
      </c>
    </row>
    <row r="37" spans="1:11" ht="14.25" thickTop="1" thickBot="1">
      <c r="A37" s="18" t="s">
        <v>26</v>
      </c>
      <c r="B37" s="10"/>
      <c r="C37" s="166"/>
      <c r="D37" s="328"/>
      <c r="E37" s="4" t="str">
        <f t="shared" si="1"/>
        <v/>
      </c>
      <c r="F37" s="10"/>
      <c r="G37" s="10"/>
      <c r="H37" s="4" t="str">
        <f t="shared" si="0"/>
        <v/>
      </c>
      <c r="I37" s="268"/>
      <c r="J37" s="265" t="str">
        <f t="shared" si="2"/>
        <v/>
      </c>
      <c r="K37" s="270" t="str">
        <f t="shared" si="3"/>
        <v/>
      </c>
    </row>
    <row r="38" spans="1:11" ht="14.25" thickTop="1" thickBot="1">
      <c r="A38" s="230" t="s">
        <v>27</v>
      </c>
      <c r="B38" s="10"/>
      <c r="C38" s="166"/>
      <c r="D38" s="328"/>
      <c r="E38" s="4" t="str">
        <f t="shared" si="1"/>
        <v/>
      </c>
      <c r="F38" s="10"/>
      <c r="G38" s="10"/>
      <c r="H38" s="4" t="str">
        <f t="shared" si="0"/>
        <v/>
      </c>
      <c r="I38" s="268"/>
      <c r="J38" s="265" t="str">
        <f t="shared" si="2"/>
        <v/>
      </c>
      <c r="K38" s="270" t="str">
        <f t="shared" si="3"/>
        <v/>
      </c>
    </row>
    <row r="39" spans="1:11" ht="14.25" thickTop="1" thickBot="1">
      <c r="A39" s="231" t="s">
        <v>121</v>
      </c>
      <c r="B39" s="10"/>
      <c r="C39" s="10"/>
      <c r="D39" s="10"/>
      <c r="E39" s="4" t="str">
        <f t="shared" si="1"/>
        <v/>
      </c>
      <c r="F39" s="10"/>
      <c r="G39" s="10"/>
      <c r="H39" s="4" t="str">
        <f t="shared" si="0"/>
        <v/>
      </c>
      <c r="I39" s="268" t="str">
        <f>IF(G20="","",+G20*C$7*8.34)</f>
        <v/>
      </c>
      <c r="J39" s="330" t="str">
        <f>IF(J20="x",MIN(H39,I39),IF(MIN(E39,H39)=0,"",MIN(E39,H39)))</f>
        <v/>
      </c>
      <c r="K39" s="270" t="str">
        <f t="shared" ref="K39:K47" si="4">IF(J39="","",IF(J39=E39,"NPDES",IF(J39=H39,"Stream Std","Design")))</f>
        <v/>
      </c>
    </row>
    <row r="40" spans="1:11" ht="14.25" thickTop="1" thickBot="1">
      <c r="A40" s="232" t="s">
        <v>120</v>
      </c>
      <c r="B40" s="10"/>
      <c r="C40" s="10"/>
      <c r="D40" s="10"/>
      <c r="E40" s="4" t="str">
        <f t="shared" si="1"/>
        <v/>
      </c>
      <c r="F40" s="10"/>
      <c r="G40" s="10"/>
      <c r="H40" s="4" t="str">
        <f t="shared" si="0"/>
        <v/>
      </c>
      <c r="I40" s="268" t="str">
        <f>IF(G21="","",+G21*C$7*8.34)</f>
        <v/>
      </c>
      <c r="J40" s="330" t="str">
        <f>IF(J21="x",MIN(H40,I40),IF(MIN(E40,H40)=0,"",MIN(E40,H40)))</f>
        <v/>
      </c>
      <c r="K40" s="270" t="str">
        <f t="shared" si="4"/>
        <v/>
      </c>
    </row>
    <row r="41" spans="1:11" ht="14.25" thickTop="1" thickBot="1">
      <c r="A41" s="10" t="s">
        <v>63</v>
      </c>
      <c r="B41" s="10"/>
      <c r="C41" s="10"/>
      <c r="D41" s="10"/>
      <c r="E41" s="4" t="str">
        <f t="shared" si="1"/>
        <v/>
      </c>
      <c r="F41" s="10"/>
      <c r="G41" s="10"/>
      <c r="H41" s="4" t="str">
        <f t="shared" si="0"/>
        <v/>
      </c>
      <c r="I41" s="268"/>
      <c r="J41" s="265" t="str">
        <f>IF(MIN(E41,H41,I41)=0,"",MIN(E41,H41,I41))</f>
        <v/>
      </c>
      <c r="K41" s="270" t="str">
        <f t="shared" si="4"/>
        <v/>
      </c>
    </row>
    <row r="42" spans="1:11" ht="14.25" thickTop="1" thickBot="1">
      <c r="A42" s="10" t="s">
        <v>64</v>
      </c>
      <c r="B42" s="10"/>
      <c r="C42" s="10"/>
      <c r="D42" s="10"/>
      <c r="E42" s="4" t="str">
        <f t="shared" si="1"/>
        <v/>
      </c>
      <c r="F42" s="10"/>
      <c r="G42" s="10"/>
      <c r="H42" s="4" t="str">
        <f t="shared" si="0"/>
        <v/>
      </c>
      <c r="I42" s="268"/>
      <c r="J42" s="265" t="str">
        <f t="shared" ref="J42:J47" si="5">IF(MIN(E42,H42,I42)=0,"",MIN(E42,H42,I42))</f>
        <v/>
      </c>
      <c r="K42" s="270" t="str">
        <f t="shared" si="4"/>
        <v/>
      </c>
    </row>
    <row r="43" spans="1:11" ht="14.25" thickTop="1" thickBot="1">
      <c r="A43" s="10" t="s">
        <v>65</v>
      </c>
      <c r="B43" s="10"/>
      <c r="C43" s="10"/>
      <c r="D43" s="10"/>
      <c r="E43" s="4" t="str">
        <f t="shared" si="1"/>
        <v/>
      </c>
      <c r="F43" s="10"/>
      <c r="G43" s="10"/>
      <c r="H43" s="4" t="str">
        <f t="shared" si="0"/>
        <v/>
      </c>
      <c r="I43" s="268"/>
      <c r="J43" s="265" t="str">
        <f t="shared" si="5"/>
        <v/>
      </c>
      <c r="K43" s="270" t="str">
        <f t="shared" si="4"/>
        <v/>
      </c>
    </row>
    <row r="44" spans="1:11" ht="14.25" thickTop="1" thickBot="1">
      <c r="A44" s="10" t="s">
        <v>66</v>
      </c>
      <c r="B44" s="10"/>
      <c r="C44" s="10"/>
      <c r="D44" s="10"/>
      <c r="E44" s="4" t="str">
        <f t="shared" si="1"/>
        <v/>
      </c>
      <c r="F44" s="10"/>
      <c r="G44" s="10"/>
      <c r="H44" s="4" t="str">
        <f t="shared" si="0"/>
        <v/>
      </c>
      <c r="I44" s="268"/>
      <c r="J44" s="265" t="str">
        <f t="shared" si="5"/>
        <v/>
      </c>
      <c r="K44" s="270" t="str">
        <f t="shared" si="4"/>
        <v/>
      </c>
    </row>
    <row r="45" spans="1:11" ht="14.25" thickTop="1" thickBot="1">
      <c r="A45" s="10" t="s">
        <v>67</v>
      </c>
      <c r="B45" s="10"/>
      <c r="C45" s="10"/>
      <c r="D45" s="10"/>
      <c r="E45" s="4" t="str">
        <f t="shared" si="1"/>
        <v/>
      </c>
      <c r="F45" s="10"/>
      <c r="G45" s="10"/>
      <c r="H45" s="4" t="str">
        <f t="shared" si="0"/>
        <v/>
      </c>
      <c r="I45" s="268"/>
      <c r="J45" s="265" t="str">
        <f t="shared" si="5"/>
        <v/>
      </c>
      <c r="K45" s="270" t="str">
        <f t="shared" si="4"/>
        <v/>
      </c>
    </row>
    <row r="46" spans="1:11" ht="14.25" thickTop="1" thickBot="1">
      <c r="A46" s="10" t="s">
        <v>68</v>
      </c>
      <c r="B46" s="10"/>
      <c r="C46" s="10"/>
      <c r="D46" s="10"/>
      <c r="E46" s="4" t="str">
        <f t="shared" si="1"/>
        <v/>
      </c>
      <c r="F46" s="10"/>
      <c r="G46" s="10"/>
      <c r="H46" s="4" t="str">
        <f t="shared" si="0"/>
        <v/>
      </c>
      <c r="I46" s="268"/>
      <c r="J46" s="265" t="str">
        <f t="shared" si="5"/>
        <v/>
      </c>
      <c r="K46" s="270" t="str">
        <f t="shared" si="4"/>
        <v/>
      </c>
    </row>
    <row r="47" spans="1:11" ht="14.25" thickTop="1" thickBot="1">
      <c r="A47" s="10" t="s">
        <v>69</v>
      </c>
      <c r="B47" s="10"/>
      <c r="C47" s="10"/>
      <c r="D47" s="10"/>
      <c r="E47" s="4" t="str">
        <f t="shared" si="1"/>
        <v/>
      </c>
      <c r="F47" s="10"/>
      <c r="G47" s="10"/>
      <c r="H47" s="4" t="str">
        <f t="shared" si="0"/>
        <v/>
      </c>
      <c r="I47" s="268"/>
      <c r="J47" s="265" t="str">
        <f t="shared" si="5"/>
        <v/>
      </c>
      <c r="K47" s="271" t="str">
        <f t="shared" si="4"/>
        <v/>
      </c>
    </row>
    <row r="48" spans="1:11" ht="6.75" customHeight="1" thickTop="1" thickBot="1">
      <c r="A48" s="21"/>
      <c r="B48" s="21"/>
      <c r="C48" s="21"/>
      <c r="D48" s="21"/>
      <c r="E48" s="2"/>
      <c r="G48" s="21"/>
      <c r="H48" s="21"/>
      <c r="I48" s="2"/>
      <c r="J48" s="2"/>
    </row>
    <row r="49" spans="1:19" ht="15.75" thickTop="1" thickBot="1">
      <c r="A49" s="21"/>
      <c r="B49" s="21"/>
      <c r="C49" s="21"/>
      <c r="D49" s="21"/>
      <c r="E49" s="2"/>
      <c r="F49" s="9" t="s">
        <v>185</v>
      </c>
      <c r="G49" s="10"/>
      <c r="H49" s="21"/>
      <c r="I49" s="2"/>
      <c r="J49" s="2"/>
    </row>
    <row r="50" spans="1:19" ht="15.75" thickTop="1" thickBot="1">
      <c r="A50" s="2"/>
      <c r="B50" s="2"/>
      <c r="C50" s="2"/>
      <c r="D50" s="2"/>
      <c r="E50" s="12"/>
      <c r="F50" s="9" t="s">
        <v>118</v>
      </c>
      <c r="G50" s="10"/>
      <c r="H50" s="2"/>
      <c r="I50" s="2"/>
      <c r="J50" s="2"/>
    </row>
    <row r="51" spans="1:19" ht="14.25" thickTop="1" thickBot="1">
      <c r="A51" s="243" t="s">
        <v>28</v>
      </c>
      <c r="B51" s="244"/>
      <c r="C51" s="244"/>
      <c r="D51" s="244"/>
      <c r="E51" s="244"/>
      <c r="F51" s="244"/>
      <c r="G51" s="245" t="s">
        <v>79</v>
      </c>
      <c r="H51" s="244"/>
      <c r="I51" s="244"/>
      <c r="J51" s="264"/>
      <c r="K51" s="8"/>
    </row>
    <row r="52" spans="1:19" ht="49.5" customHeight="1" thickBot="1">
      <c r="A52" s="295" t="s">
        <v>12</v>
      </c>
      <c r="B52" s="291" t="s">
        <v>149</v>
      </c>
      <c r="C52" s="291" t="s">
        <v>150</v>
      </c>
      <c r="D52" s="291" t="s">
        <v>166</v>
      </c>
      <c r="E52" s="291" t="s">
        <v>167</v>
      </c>
      <c r="F52" s="291" t="s">
        <v>132</v>
      </c>
      <c r="G52" s="291" t="s">
        <v>168</v>
      </c>
      <c r="H52" s="291" t="s">
        <v>169</v>
      </c>
      <c r="I52" s="292" t="s">
        <v>133</v>
      </c>
      <c r="J52" s="293" t="s">
        <v>134</v>
      </c>
      <c r="K52" s="296" t="s">
        <v>135</v>
      </c>
    </row>
    <row r="53" spans="1:19" s="6" customFormat="1" ht="14.25" thickTop="1" thickBot="1">
      <c r="A53" s="4" t="str">
        <f>A24</f>
        <v>BOD</v>
      </c>
      <c r="B53" s="10"/>
      <c r="C53" s="10"/>
      <c r="D53" s="10"/>
      <c r="E53" s="10"/>
      <c r="F53" s="4" t="str">
        <f t="shared" ref="F53:F76" si="6">IF(OR($D53="",$C$8=""),"",8.34*D53*$C$8/(1-($B53/100)))</f>
        <v/>
      </c>
      <c r="G53" s="10"/>
      <c r="H53" s="10"/>
      <c r="I53" s="167" t="str">
        <f>IF(OR($G53="",$C24="",$C$14=""),"",8.34*$G53*$C$14/($C24/100))</f>
        <v/>
      </c>
      <c r="J53" s="265" t="str">
        <f t="shared" ref="J53:J76" si="7">IF(MIN($I53,$F53)=0,"",MIN($I53,$F53))</f>
        <v/>
      </c>
      <c r="K53" s="259" t="str">
        <f>IF(J53="","",(IF(J53=F53,"AS/Nit/TF inhibition","Digester Inhibition")))</f>
        <v/>
      </c>
      <c r="L53" s="5"/>
      <c r="M53" s="5"/>
      <c r="N53" s="5"/>
      <c r="O53" s="5"/>
      <c r="P53" s="5"/>
      <c r="Q53" s="5"/>
      <c r="R53" s="5"/>
      <c r="S53" s="5"/>
    </row>
    <row r="54" spans="1:19" s="6" customFormat="1" ht="14.25" thickTop="1" thickBot="1">
      <c r="A54" s="4" t="str">
        <f>A25</f>
        <v>TSS</v>
      </c>
      <c r="B54" s="10"/>
      <c r="C54" s="10"/>
      <c r="D54" s="10"/>
      <c r="E54" s="10"/>
      <c r="F54" s="4" t="str">
        <f t="shared" si="6"/>
        <v/>
      </c>
      <c r="G54" s="10"/>
      <c r="H54" s="10"/>
      <c r="I54" s="167" t="str">
        <f>IF(OR($G54="",$C25="",$C$14=""),"",8.34*$G54*$C$14/($C25/100))</f>
        <v/>
      </c>
      <c r="J54" s="265" t="str">
        <f t="shared" si="7"/>
        <v/>
      </c>
      <c r="K54" s="259" t="str">
        <f>IF(J54="","",(IF(J54=F54,"AS/Nit/TF inhibition","Digester Inhibition")))</f>
        <v/>
      </c>
      <c r="L54" s="5"/>
      <c r="M54" s="5"/>
      <c r="N54" s="5"/>
      <c r="O54" s="5"/>
      <c r="P54" s="5"/>
      <c r="Q54" s="5"/>
      <c r="R54" s="5"/>
      <c r="S54" s="5"/>
    </row>
    <row r="55" spans="1:19" s="6" customFormat="1" ht="14.25" thickTop="1" thickBot="1">
      <c r="A55" s="4" t="str">
        <f t="shared" ref="A55:A76" si="8">A26</f>
        <v>Ammonia</v>
      </c>
      <c r="B55" s="10"/>
      <c r="C55" s="10"/>
      <c r="D55" s="10"/>
      <c r="E55" s="10"/>
      <c r="F55" s="4" t="str">
        <f t="shared" si="6"/>
        <v/>
      </c>
      <c r="G55" s="10"/>
      <c r="H55" s="10"/>
      <c r="I55" s="263" t="str">
        <f>IF(OR($G55="",$C$14="",G50=""),"",G49*8.34*C8*G55/G50)</f>
        <v/>
      </c>
      <c r="J55" s="266" t="str">
        <f t="shared" si="7"/>
        <v/>
      </c>
      <c r="K55" s="259" t="str">
        <f>IF(J55="","",(IF(J55=F55,"AS/Nit/TF inhibition","Digester Inhibition")))</f>
        <v/>
      </c>
      <c r="L55" s="5"/>
      <c r="M55" s="5"/>
      <c r="N55" s="5"/>
      <c r="O55" s="5"/>
      <c r="P55" s="5"/>
      <c r="Q55" s="5"/>
      <c r="R55" s="5"/>
      <c r="S55" s="5"/>
    </row>
    <row r="56" spans="1:19" s="6" customFormat="1" ht="14.25" thickTop="1" thickBot="1">
      <c r="A56" s="4" t="str">
        <f t="shared" si="8"/>
        <v>Arsenic</v>
      </c>
      <c r="B56" s="10"/>
      <c r="C56" s="10"/>
      <c r="D56" s="10"/>
      <c r="E56" s="10"/>
      <c r="F56" s="4" t="str">
        <f t="shared" si="6"/>
        <v/>
      </c>
      <c r="G56" s="10"/>
      <c r="H56" s="10"/>
      <c r="I56" s="167" t="str">
        <f t="shared" ref="I56:I76" si="9">IF(OR($G56="",$C27="",$C$14=""),"",8.34*$G56*$C$14/($C27/100))</f>
        <v/>
      </c>
      <c r="J56" s="265" t="str">
        <f t="shared" si="7"/>
        <v/>
      </c>
      <c r="K56" s="259" t="str">
        <f t="shared" ref="K56:K76" si="10">IF(J56="","",(IF(J56=F56,"AS/Nit/TF inhibition","Digester Inhibition")))</f>
        <v/>
      </c>
      <c r="L56" s="5"/>
      <c r="M56" s="5"/>
      <c r="N56" s="5"/>
      <c r="O56" s="5"/>
      <c r="P56" s="5"/>
      <c r="Q56" s="5"/>
      <c r="R56" s="5"/>
      <c r="S56" s="5"/>
    </row>
    <row r="57" spans="1:19" s="6" customFormat="1" ht="14.25" thickTop="1" thickBot="1">
      <c r="A57" s="4" t="str">
        <f t="shared" si="8"/>
        <v>Cadmium</v>
      </c>
      <c r="B57" s="10"/>
      <c r="C57" s="10"/>
      <c r="D57" s="10"/>
      <c r="E57" s="10"/>
      <c r="F57" s="4" t="str">
        <f t="shared" si="6"/>
        <v/>
      </c>
      <c r="G57" s="10"/>
      <c r="H57" s="10"/>
      <c r="I57" s="167" t="str">
        <f t="shared" si="9"/>
        <v/>
      </c>
      <c r="J57" s="265" t="str">
        <f t="shared" si="7"/>
        <v/>
      </c>
      <c r="K57" s="259" t="str">
        <f t="shared" si="10"/>
        <v/>
      </c>
      <c r="L57" s="5"/>
      <c r="M57" s="5"/>
      <c r="N57" s="5"/>
      <c r="O57" s="5"/>
      <c r="P57" s="5"/>
      <c r="Q57" s="5"/>
      <c r="R57" s="5"/>
      <c r="S57" s="5"/>
    </row>
    <row r="58" spans="1:19" s="3" customFormat="1" ht="14.25" thickTop="1" thickBot="1">
      <c r="A58" s="4" t="str">
        <f t="shared" si="8"/>
        <v>Chromium</v>
      </c>
      <c r="B58" s="10"/>
      <c r="C58" s="10"/>
      <c r="D58" s="10"/>
      <c r="E58" s="10"/>
      <c r="F58" s="4" t="str">
        <f t="shared" si="6"/>
        <v/>
      </c>
      <c r="G58" s="10"/>
      <c r="H58" s="10"/>
      <c r="I58" s="167" t="str">
        <f t="shared" si="9"/>
        <v/>
      </c>
      <c r="J58" s="265" t="str">
        <f t="shared" si="7"/>
        <v/>
      </c>
      <c r="K58" s="259" t="str">
        <f t="shared" si="10"/>
        <v/>
      </c>
      <c r="L58" s="7"/>
      <c r="M58" s="7"/>
      <c r="N58" s="7"/>
      <c r="O58" s="7"/>
      <c r="P58" s="7"/>
      <c r="Q58" s="7"/>
      <c r="R58" s="7"/>
      <c r="S58" s="7"/>
    </row>
    <row r="59" spans="1:19" s="6" customFormat="1" ht="14.25" thickTop="1" thickBot="1">
      <c r="A59" s="4" t="str">
        <f t="shared" si="8"/>
        <v>Copper</v>
      </c>
      <c r="B59" s="10"/>
      <c r="C59" s="10"/>
      <c r="D59" s="10"/>
      <c r="E59" s="10"/>
      <c r="F59" s="4" t="str">
        <f t="shared" si="6"/>
        <v/>
      </c>
      <c r="G59" s="10"/>
      <c r="H59" s="10"/>
      <c r="I59" s="167" t="str">
        <f t="shared" si="9"/>
        <v/>
      </c>
      <c r="J59" s="265" t="str">
        <f t="shared" si="7"/>
        <v/>
      </c>
      <c r="K59" s="259" t="str">
        <f t="shared" si="10"/>
        <v/>
      </c>
      <c r="L59" s="5"/>
      <c r="M59" s="5"/>
      <c r="N59" s="5"/>
      <c r="O59" s="5"/>
      <c r="P59" s="5"/>
      <c r="Q59" s="5"/>
      <c r="R59" s="5"/>
      <c r="S59" s="5"/>
    </row>
    <row r="60" spans="1:19" s="6" customFormat="1" ht="14.25" thickTop="1" thickBot="1">
      <c r="A60" s="4" t="str">
        <f t="shared" si="8"/>
        <v>Cyanide</v>
      </c>
      <c r="B60" s="10"/>
      <c r="C60" s="10"/>
      <c r="D60" s="10"/>
      <c r="E60" s="10"/>
      <c r="F60" s="4" t="str">
        <f t="shared" si="6"/>
        <v/>
      </c>
      <c r="G60" s="10"/>
      <c r="H60" s="10"/>
      <c r="I60" s="167" t="str">
        <f t="shared" si="9"/>
        <v/>
      </c>
      <c r="J60" s="265" t="str">
        <f t="shared" si="7"/>
        <v/>
      </c>
      <c r="K60" s="259" t="str">
        <f t="shared" si="10"/>
        <v/>
      </c>
      <c r="L60" s="5"/>
      <c r="M60" s="5"/>
      <c r="N60" s="5"/>
      <c r="O60" s="5"/>
      <c r="P60" s="5"/>
      <c r="Q60" s="5"/>
      <c r="R60" s="5"/>
      <c r="S60" s="5"/>
    </row>
    <row r="61" spans="1:19" s="6" customFormat="1" ht="14.25" thickTop="1" thickBot="1">
      <c r="A61" s="4" t="str">
        <f t="shared" si="8"/>
        <v>Lead</v>
      </c>
      <c r="B61" s="10"/>
      <c r="C61" s="10"/>
      <c r="D61" s="10"/>
      <c r="E61" s="10"/>
      <c r="F61" s="4" t="str">
        <f t="shared" si="6"/>
        <v/>
      </c>
      <c r="G61" s="10"/>
      <c r="H61" s="10"/>
      <c r="I61" s="167" t="str">
        <f t="shared" si="9"/>
        <v/>
      </c>
      <c r="J61" s="265" t="str">
        <f t="shared" si="7"/>
        <v/>
      </c>
      <c r="K61" s="259" t="str">
        <f t="shared" si="10"/>
        <v/>
      </c>
      <c r="L61" s="5"/>
      <c r="M61" s="5"/>
      <c r="N61" s="5"/>
      <c r="O61" s="5"/>
      <c r="P61" s="5"/>
      <c r="Q61" s="5"/>
      <c r="R61" s="5"/>
      <c r="S61" s="5"/>
    </row>
    <row r="62" spans="1:19" s="6" customFormat="1" ht="14.25" thickTop="1" thickBot="1">
      <c r="A62" s="4" t="str">
        <f t="shared" si="8"/>
        <v>Mercury</v>
      </c>
      <c r="B62" s="10"/>
      <c r="C62" s="10"/>
      <c r="D62" s="10"/>
      <c r="E62" s="10"/>
      <c r="F62" s="4" t="str">
        <f t="shared" si="6"/>
        <v/>
      </c>
      <c r="G62" s="10"/>
      <c r="H62" s="10"/>
      <c r="I62" s="167" t="str">
        <f t="shared" si="9"/>
        <v/>
      </c>
      <c r="J62" s="265" t="str">
        <f t="shared" si="7"/>
        <v/>
      </c>
      <c r="K62" s="259" t="str">
        <f t="shared" si="10"/>
        <v/>
      </c>
      <c r="L62" s="5"/>
      <c r="M62" s="5"/>
      <c r="N62" s="5"/>
      <c r="O62" s="5"/>
      <c r="P62" s="5"/>
      <c r="Q62" s="5"/>
      <c r="R62" s="5"/>
      <c r="S62" s="5"/>
    </row>
    <row r="63" spans="1:19" s="6" customFormat="1" ht="14.25" thickTop="1" thickBot="1">
      <c r="A63" s="4" t="str">
        <f t="shared" si="8"/>
        <v>Molybdenum</v>
      </c>
      <c r="B63" s="10"/>
      <c r="C63" s="10"/>
      <c r="D63" s="10"/>
      <c r="E63" s="10"/>
      <c r="F63" s="4" t="str">
        <f t="shared" si="6"/>
        <v/>
      </c>
      <c r="G63" s="10"/>
      <c r="H63" s="10"/>
      <c r="I63" s="167" t="str">
        <f t="shared" si="9"/>
        <v/>
      </c>
      <c r="J63" s="265" t="str">
        <f t="shared" si="7"/>
        <v/>
      </c>
      <c r="K63" s="259" t="str">
        <f t="shared" si="10"/>
        <v/>
      </c>
      <c r="L63" s="5"/>
      <c r="M63" s="5"/>
      <c r="N63" s="5"/>
      <c r="O63" s="5"/>
      <c r="P63" s="5"/>
      <c r="Q63" s="5"/>
      <c r="R63" s="5"/>
      <c r="S63" s="5"/>
    </row>
    <row r="64" spans="1:19" s="6" customFormat="1" ht="14.25" thickTop="1" thickBot="1">
      <c r="A64" s="4" t="str">
        <f t="shared" si="8"/>
        <v>Nickel</v>
      </c>
      <c r="B64" s="10"/>
      <c r="C64" s="10"/>
      <c r="D64" s="10"/>
      <c r="E64" s="10"/>
      <c r="F64" s="4" t="str">
        <f t="shared" si="6"/>
        <v/>
      </c>
      <c r="G64" s="10"/>
      <c r="H64" s="10"/>
      <c r="I64" s="167" t="str">
        <f t="shared" si="9"/>
        <v/>
      </c>
      <c r="J64" s="265" t="str">
        <f t="shared" si="7"/>
        <v/>
      </c>
      <c r="K64" s="259" t="str">
        <f t="shared" si="10"/>
        <v/>
      </c>
      <c r="L64" s="5"/>
      <c r="M64" s="5"/>
      <c r="N64" s="5"/>
      <c r="O64" s="5"/>
      <c r="P64" s="5"/>
      <c r="Q64" s="5"/>
      <c r="R64" s="5"/>
      <c r="S64" s="5"/>
    </row>
    <row r="65" spans="1:19" s="6" customFormat="1" ht="14.25" thickTop="1" thickBot="1">
      <c r="A65" s="4" t="str">
        <f t="shared" si="8"/>
        <v>Selenium</v>
      </c>
      <c r="B65" s="10"/>
      <c r="C65" s="10"/>
      <c r="D65" s="10"/>
      <c r="E65" s="10"/>
      <c r="F65" s="4" t="str">
        <f t="shared" si="6"/>
        <v/>
      </c>
      <c r="G65" s="10"/>
      <c r="H65" s="10"/>
      <c r="I65" s="167" t="str">
        <f t="shared" si="9"/>
        <v/>
      </c>
      <c r="J65" s="265" t="str">
        <f t="shared" si="7"/>
        <v/>
      </c>
      <c r="K65" s="259" t="str">
        <f t="shared" si="10"/>
        <v/>
      </c>
      <c r="L65" s="5"/>
      <c r="M65" s="5"/>
      <c r="N65" s="5"/>
      <c r="O65" s="5"/>
      <c r="P65" s="5"/>
      <c r="Q65" s="5"/>
      <c r="R65" s="5"/>
      <c r="S65" s="5"/>
    </row>
    <row r="66" spans="1:19" s="6" customFormat="1" ht="14.25" thickTop="1" thickBot="1">
      <c r="A66" s="4" t="str">
        <f t="shared" si="8"/>
        <v>Silver</v>
      </c>
      <c r="B66" s="10"/>
      <c r="C66" s="10"/>
      <c r="D66" s="10"/>
      <c r="E66" s="10"/>
      <c r="F66" s="4" t="str">
        <f t="shared" si="6"/>
        <v/>
      </c>
      <c r="G66" s="10"/>
      <c r="H66" s="10"/>
      <c r="I66" s="167" t="str">
        <f t="shared" si="9"/>
        <v/>
      </c>
      <c r="J66" s="265" t="str">
        <f t="shared" si="7"/>
        <v/>
      </c>
      <c r="K66" s="259" t="str">
        <f t="shared" si="10"/>
        <v/>
      </c>
      <c r="L66" s="5"/>
      <c r="M66" s="5"/>
      <c r="N66" s="5"/>
      <c r="O66" s="5"/>
      <c r="P66" s="5"/>
      <c r="Q66" s="5"/>
      <c r="R66" s="5"/>
      <c r="S66" s="5"/>
    </row>
    <row r="67" spans="1:19" s="6" customFormat="1" ht="14.25" thickTop="1" thickBot="1">
      <c r="A67" s="4" t="str">
        <f t="shared" si="8"/>
        <v>Zinc</v>
      </c>
      <c r="B67" s="10"/>
      <c r="C67" s="10"/>
      <c r="D67" s="10"/>
      <c r="E67" s="10"/>
      <c r="F67" s="4" t="str">
        <f t="shared" si="6"/>
        <v/>
      </c>
      <c r="G67" s="10"/>
      <c r="H67" s="10"/>
      <c r="I67" s="167" t="str">
        <f t="shared" si="9"/>
        <v/>
      </c>
      <c r="J67" s="265" t="str">
        <f t="shared" si="7"/>
        <v/>
      </c>
      <c r="K67" s="259" t="str">
        <f t="shared" si="10"/>
        <v/>
      </c>
      <c r="L67" s="5"/>
      <c r="M67" s="5"/>
      <c r="N67" s="5"/>
      <c r="O67" s="5"/>
      <c r="P67" s="5"/>
      <c r="Q67" s="5"/>
      <c r="R67" s="5"/>
      <c r="S67" s="5"/>
    </row>
    <row r="68" spans="1:19" s="6" customFormat="1" ht="14.25" thickTop="1" thickBot="1">
      <c r="A68" s="4" t="str">
        <f t="shared" si="8"/>
        <v>Total Nitrogen</v>
      </c>
      <c r="B68" s="10"/>
      <c r="C68" s="10"/>
      <c r="D68" s="10"/>
      <c r="E68" s="10"/>
      <c r="F68" s="4" t="str">
        <f t="shared" si="6"/>
        <v/>
      </c>
      <c r="G68" s="10"/>
      <c r="H68" s="10"/>
      <c r="I68" s="167" t="str">
        <f t="shared" si="9"/>
        <v/>
      </c>
      <c r="J68" s="265" t="str">
        <f t="shared" si="7"/>
        <v/>
      </c>
      <c r="K68" s="259" t="str">
        <f t="shared" si="10"/>
        <v/>
      </c>
      <c r="L68" s="5"/>
      <c r="M68" s="5"/>
      <c r="N68" s="5"/>
      <c r="O68" s="5"/>
      <c r="P68" s="5"/>
      <c r="Q68" s="5"/>
      <c r="R68" s="5"/>
      <c r="S68" s="5"/>
    </row>
    <row r="69" spans="1:19" s="6" customFormat="1" ht="14.25" thickTop="1" thickBot="1">
      <c r="A69" s="4" t="str">
        <f t="shared" si="8"/>
        <v>Total Phos.</v>
      </c>
      <c r="B69" s="10"/>
      <c r="C69" s="10"/>
      <c r="D69" s="10"/>
      <c r="E69" s="10"/>
      <c r="F69" s="4" t="str">
        <f t="shared" si="6"/>
        <v/>
      </c>
      <c r="G69" s="10"/>
      <c r="H69" s="10"/>
      <c r="I69" s="167" t="str">
        <f t="shared" si="9"/>
        <v/>
      </c>
      <c r="J69" s="265" t="str">
        <f t="shared" si="7"/>
        <v/>
      </c>
      <c r="K69" s="259" t="str">
        <f t="shared" si="10"/>
        <v/>
      </c>
      <c r="L69" s="5"/>
      <c r="M69" s="5"/>
      <c r="N69" s="5"/>
      <c r="O69" s="5"/>
      <c r="P69" s="5"/>
      <c r="Q69" s="5"/>
      <c r="R69" s="5"/>
      <c r="S69" s="5"/>
    </row>
    <row r="70" spans="1:19" s="6" customFormat="1" ht="14.25" thickTop="1" thickBot="1">
      <c r="A70" s="4" t="str">
        <f t="shared" si="8"/>
        <v>c</v>
      </c>
      <c r="B70" s="10"/>
      <c r="C70" s="10"/>
      <c r="D70" s="10"/>
      <c r="E70" s="10"/>
      <c r="F70" s="4" t="str">
        <f t="shared" si="6"/>
        <v/>
      </c>
      <c r="G70" s="10"/>
      <c r="H70" s="10"/>
      <c r="I70" s="167" t="str">
        <f t="shared" si="9"/>
        <v/>
      </c>
      <c r="J70" s="265" t="str">
        <f t="shared" si="7"/>
        <v/>
      </c>
      <c r="K70" s="259" t="str">
        <f t="shared" si="10"/>
        <v/>
      </c>
      <c r="L70" s="5"/>
      <c r="M70" s="5"/>
      <c r="N70" s="5"/>
      <c r="O70" s="5"/>
      <c r="P70" s="5"/>
      <c r="Q70" s="5"/>
      <c r="R70" s="5"/>
      <c r="S70" s="5"/>
    </row>
    <row r="71" spans="1:19" s="6" customFormat="1" ht="14.25" thickTop="1" thickBot="1">
      <c r="A71" s="4" t="str">
        <f t="shared" si="8"/>
        <v>d</v>
      </c>
      <c r="B71" s="10"/>
      <c r="C71" s="10"/>
      <c r="D71" s="10"/>
      <c r="E71" s="10"/>
      <c r="F71" s="4" t="str">
        <f t="shared" si="6"/>
        <v/>
      </c>
      <c r="G71" s="10"/>
      <c r="H71" s="10"/>
      <c r="I71" s="167" t="str">
        <f t="shared" si="9"/>
        <v/>
      </c>
      <c r="J71" s="265" t="str">
        <f t="shared" si="7"/>
        <v/>
      </c>
      <c r="K71" s="259" t="str">
        <f t="shared" si="10"/>
        <v/>
      </c>
      <c r="L71" s="5"/>
      <c r="M71" s="5"/>
      <c r="N71" s="5"/>
      <c r="O71" s="5"/>
      <c r="P71" s="5"/>
      <c r="Q71" s="5"/>
      <c r="R71" s="5"/>
      <c r="S71" s="5"/>
    </row>
    <row r="72" spans="1:19" s="6" customFormat="1" ht="14.25" thickTop="1" thickBot="1">
      <c r="A72" s="4" t="str">
        <f t="shared" si="8"/>
        <v>e</v>
      </c>
      <c r="B72" s="10"/>
      <c r="C72" s="10"/>
      <c r="D72" s="10"/>
      <c r="E72" s="10"/>
      <c r="F72" s="4" t="str">
        <f t="shared" si="6"/>
        <v/>
      </c>
      <c r="G72" s="10"/>
      <c r="H72" s="10"/>
      <c r="I72" s="167" t="str">
        <f t="shared" si="9"/>
        <v/>
      </c>
      <c r="J72" s="265" t="str">
        <f t="shared" si="7"/>
        <v/>
      </c>
      <c r="K72" s="259" t="str">
        <f t="shared" si="10"/>
        <v/>
      </c>
      <c r="L72" s="5"/>
      <c r="M72" s="5"/>
      <c r="N72" s="5"/>
      <c r="O72" s="5"/>
      <c r="P72" s="5"/>
      <c r="Q72" s="5"/>
      <c r="R72" s="5"/>
      <c r="S72" s="5"/>
    </row>
    <row r="73" spans="1:19" s="6" customFormat="1" ht="14.25" thickTop="1" thickBot="1">
      <c r="A73" s="4" t="str">
        <f t="shared" si="8"/>
        <v>f</v>
      </c>
      <c r="B73" s="10"/>
      <c r="C73" s="10"/>
      <c r="D73" s="10"/>
      <c r="E73" s="10"/>
      <c r="F73" s="4" t="str">
        <f t="shared" si="6"/>
        <v/>
      </c>
      <c r="G73" s="10"/>
      <c r="H73" s="10"/>
      <c r="I73" s="167" t="str">
        <f t="shared" si="9"/>
        <v/>
      </c>
      <c r="J73" s="265" t="str">
        <f t="shared" si="7"/>
        <v/>
      </c>
      <c r="K73" s="259" t="str">
        <f t="shared" si="10"/>
        <v/>
      </c>
      <c r="L73" s="5"/>
      <c r="M73" s="5"/>
      <c r="N73" s="5"/>
      <c r="O73" s="5"/>
      <c r="P73" s="5"/>
      <c r="Q73" s="5"/>
      <c r="R73" s="5"/>
      <c r="S73" s="5"/>
    </row>
    <row r="74" spans="1:19" s="6" customFormat="1" ht="14.25" thickTop="1" thickBot="1">
      <c r="A74" s="4" t="str">
        <f t="shared" si="8"/>
        <v>g</v>
      </c>
      <c r="B74" s="10"/>
      <c r="C74" s="10"/>
      <c r="D74" s="10"/>
      <c r="E74" s="10"/>
      <c r="F74" s="4" t="str">
        <f t="shared" si="6"/>
        <v/>
      </c>
      <c r="G74" s="10"/>
      <c r="H74" s="10"/>
      <c r="I74" s="167" t="str">
        <f t="shared" si="9"/>
        <v/>
      </c>
      <c r="J74" s="265" t="str">
        <f t="shared" si="7"/>
        <v/>
      </c>
      <c r="K74" s="259" t="str">
        <f t="shared" si="10"/>
        <v/>
      </c>
      <c r="L74" s="5"/>
      <c r="M74" s="5"/>
      <c r="N74" s="5"/>
      <c r="O74" s="5"/>
      <c r="P74" s="5"/>
      <c r="Q74" s="5"/>
      <c r="R74" s="5"/>
      <c r="S74" s="5"/>
    </row>
    <row r="75" spans="1:19" s="6" customFormat="1" ht="14.25" thickTop="1" thickBot="1">
      <c r="A75" s="4" t="str">
        <f t="shared" si="8"/>
        <v>h</v>
      </c>
      <c r="B75" s="10"/>
      <c r="C75" s="10"/>
      <c r="D75" s="10"/>
      <c r="E75" s="10"/>
      <c r="F75" s="4" t="str">
        <f t="shared" si="6"/>
        <v/>
      </c>
      <c r="G75" s="10"/>
      <c r="H75" s="10"/>
      <c r="I75" s="167" t="str">
        <f t="shared" si="9"/>
        <v/>
      </c>
      <c r="J75" s="265" t="str">
        <f t="shared" si="7"/>
        <v/>
      </c>
      <c r="K75" s="259" t="str">
        <f t="shared" si="10"/>
        <v/>
      </c>
      <c r="L75" s="5"/>
      <c r="M75" s="5"/>
      <c r="N75" s="5"/>
      <c r="O75" s="5"/>
      <c r="P75" s="5"/>
      <c r="Q75" s="5"/>
      <c r="R75" s="5"/>
      <c r="S75" s="5"/>
    </row>
    <row r="76" spans="1:19" s="6" customFormat="1" ht="14.25" thickTop="1" thickBot="1">
      <c r="A76" s="4" t="str">
        <f t="shared" si="8"/>
        <v>I</v>
      </c>
      <c r="B76" s="10"/>
      <c r="C76" s="10"/>
      <c r="D76" s="10"/>
      <c r="E76" s="10"/>
      <c r="F76" s="4" t="str">
        <f t="shared" si="6"/>
        <v/>
      </c>
      <c r="G76" s="10"/>
      <c r="H76" s="10"/>
      <c r="I76" s="167" t="str">
        <f t="shared" si="9"/>
        <v/>
      </c>
      <c r="J76" s="267" t="str">
        <f t="shared" si="7"/>
        <v/>
      </c>
      <c r="K76" s="259" t="str">
        <f t="shared" si="10"/>
        <v/>
      </c>
      <c r="L76" s="5"/>
      <c r="M76" s="5"/>
      <c r="N76" s="5"/>
      <c r="O76" s="5"/>
      <c r="P76" s="5"/>
      <c r="Q76" s="5"/>
      <c r="R76" s="5"/>
      <c r="S76" s="5"/>
    </row>
    <row r="77" spans="1:19" ht="13.5" thickTop="1">
      <c r="A77" s="2"/>
      <c r="B77" s="2"/>
      <c r="C77" s="2"/>
      <c r="D77" s="2"/>
      <c r="E77" s="2"/>
      <c r="F77" s="2"/>
      <c r="G77" s="2"/>
      <c r="H77" s="2"/>
      <c r="I77" s="2"/>
      <c r="J77" s="2"/>
      <c r="K77" s="8"/>
      <c r="L77" s="8"/>
      <c r="M77" s="8"/>
      <c r="N77" s="8"/>
      <c r="O77" s="8"/>
      <c r="P77" s="8"/>
      <c r="Q77" s="8"/>
      <c r="R77" s="8"/>
      <c r="S77" s="8"/>
    </row>
    <row r="78" spans="1:19" ht="13.5" thickBot="1">
      <c r="A78" s="15" t="s">
        <v>30</v>
      </c>
      <c r="B78" s="2"/>
      <c r="C78" s="2"/>
      <c r="D78" s="2"/>
      <c r="E78" s="2"/>
      <c r="F78" s="2"/>
      <c r="G78" s="2"/>
      <c r="H78" s="2"/>
      <c r="I78" s="2"/>
      <c r="J78" s="2"/>
      <c r="K78" s="8"/>
      <c r="L78" s="8"/>
      <c r="M78" s="8"/>
      <c r="N78" s="8"/>
      <c r="O78" s="8"/>
      <c r="P78" s="8"/>
      <c r="Q78" s="8"/>
      <c r="R78" s="8"/>
      <c r="S78" s="8"/>
    </row>
    <row r="79" spans="1:19" ht="50.25" customHeight="1" thickBot="1">
      <c r="A79" s="256" t="s">
        <v>12</v>
      </c>
      <c r="B79" s="252" t="s">
        <v>178</v>
      </c>
      <c r="C79" s="253" t="s">
        <v>177</v>
      </c>
      <c r="D79" s="254" t="s">
        <v>151</v>
      </c>
      <c r="E79" s="255" t="s">
        <v>179</v>
      </c>
      <c r="F79" s="253" t="s">
        <v>140</v>
      </c>
      <c r="G79" s="252" t="s">
        <v>180</v>
      </c>
      <c r="H79" s="253" t="s">
        <v>136</v>
      </c>
      <c r="I79" s="254" t="s">
        <v>137</v>
      </c>
      <c r="J79" s="257" t="s">
        <v>138</v>
      </c>
      <c r="K79" s="254" t="s">
        <v>139</v>
      </c>
      <c r="N79" s="8"/>
      <c r="O79" s="8"/>
      <c r="P79" s="8"/>
      <c r="Q79" s="8"/>
      <c r="R79" s="8"/>
      <c r="S79" s="8"/>
    </row>
    <row r="80" spans="1:19" s="6" customFormat="1">
      <c r="A80" s="247" t="str">
        <f>A24</f>
        <v>BOD</v>
      </c>
      <c r="B80" s="246"/>
      <c r="C80" s="247"/>
      <c r="D80" s="248"/>
      <c r="E80" s="249"/>
      <c r="F80" s="250"/>
      <c r="G80" s="251"/>
      <c r="H80" s="247"/>
      <c r="I80" s="248"/>
      <c r="J80" s="258"/>
      <c r="K80" s="262"/>
      <c r="N80" s="5"/>
      <c r="O80" s="5"/>
      <c r="P80" s="5"/>
      <c r="Q80" s="5"/>
      <c r="R80" s="5"/>
      <c r="S80" s="5"/>
    </row>
    <row r="81" spans="1:19" s="6" customFormat="1">
      <c r="A81" s="167" t="str">
        <f>A25</f>
        <v>TSS</v>
      </c>
      <c r="B81" s="178"/>
      <c r="C81" s="167"/>
      <c r="D81" s="184"/>
      <c r="E81" s="188"/>
      <c r="F81" s="180"/>
      <c r="G81" s="189"/>
      <c r="H81" s="167"/>
      <c r="I81" s="184"/>
      <c r="J81" s="260"/>
      <c r="K81" s="262"/>
      <c r="N81" s="5"/>
      <c r="O81" s="5"/>
      <c r="P81" s="5"/>
      <c r="Q81" s="5"/>
      <c r="R81" s="5"/>
      <c r="S81" s="5"/>
    </row>
    <row r="82" spans="1:19" s="6" customFormat="1">
      <c r="A82" s="167" t="str">
        <f t="shared" ref="A82:A103" si="11">A26</f>
        <v>Ammonia</v>
      </c>
      <c r="B82" s="178"/>
      <c r="C82" s="167"/>
      <c r="D82" s="184"/>
      <c r="E82" s="188"/>
      <c r="F82" s="180"/>
      <c r="G82" s="189"/>
      <c r="H82" s="167"/>
      <c r="I82" s="184"/>
      <c r="J82" s="260"/>
      <c r="K82" s="262"/>
      <c r="N82" s="5"/>
      <c r="O82" s="5"/>
      <c r="P82" s="5"/>
      <c r="Q82" s="5"/>
      <c r="R82" s="5"/>
      <c r="S82" s="5"/>
    </row>
    <row r="83" spans="1:19" s="6" customFormat="1">
      <c r="A83" s="167" t="str">
        <f t="shared" si="11"/>
        <v>Arsenic</v>
      </c>
      <c r="B83" s="178">
        <v>75</v>
      </c>
      <c r="C83" s="167" t="str">
        <f>IF(OR($B83="",$C$15="",$C$16="",$C27=""),"",8.34*$B83*$C$15*$C$16/$C27)</f>
        <v/>
      </c>
      <c r="D83" s="184" t="str">
        <f>IF(C$13="A","",IF(D138="x",HASL!N17,""))</f>
        <v/>
      </c>
      <c r="E83" s="188">
        <v>36</v>
      </c>
      <c r="F83" s="180" t="str">
        <f>IF(C$13="A","",IF(OR($E83="",$C$18="",$C27="",$C$17=""),"",0.2738*$E83*$C$17/($C27*$C$18)))</f>
        <v/>
      </c>
      <c r="G83" s="189">
        <v>41</v>
      </c>
      <c r="H83" s="364" t="str">
        <f>IF($C$13="A",IF(OR($G83="",$C$15="",$C$16="",$C27=""),"",8.34*$G83*$C$15*$C$16/$C27),"")</f>
        <v/>
      </c>
      <c r="I83" s="365" t="str">
        <f>IF($C$13="A",IF(D138="x",HASL!N17,""),"")</f>
        <v/>
      </c>
      <c r="J83" s="337" t="str">
        <f>IF(C$13="", "",IF(D138="x",MIN(D83,I83),MIN(C83,F83,H83)))</f>
        <v/>
      </c>
      <c r="K83" s="262" t="str">
        <f>IF(J83="","No Criteria",IF(J83=C83,"Sludge Ceiling",IF(J83=D83,"Sludge Ceiling HASL",IF(J83=F83,"Cumul. Sludge Loading",IF(J83=H83,"Class A, Mon. Avg.","HASL - Cl. A Mon. Avg.")))))</f>
        <v>No Criteria</v>
      </c>
      <c r="N83" s="5"/>
      <c r="O83" s="5"/>
      <c r="P83" s="5"/>
      <c r="Q83" s="5"/>
      <c r="R83" s="5"/>
      <c r="S83" s="5"/>
    </row>
    <row r="84" spans="1:19" s="6" customFormat="1">
      <c r="A84" s="167" t="str">
        <f t="shared" si="11"/>
        <v>Cadmium</v>
      </c>
      <c r="B84" s="178">
        <v>85</v>
      </c>
      <c r="C84" s="167" t="str">
        <f>IF(OR($B84="",$C$15="",$C$16="",$C28=""),"",8.34*$B84*$C$15*$C$16/$C28)</f>
        <v/>
      </c>
      <c r="D84" s="184" t="str">
        <f>IF(C$13="A","",IF(D139="x",HASL!N18,""))</f>
        <v/>
      </c>
      <c r="E84" s="188">
        <v>34</v>
      </c>
      <c r="F84" s="180" t="str">
        <f>IF(C$13="A","",IF(OR($E84="",$C$18="",$C28="",$C$17=""),"",0.2738*$E84*$C$17/($C28*$C$18)))</f>
        <v/>
      </c>
      <c r="G84" s="189">
        <v>39</v>
      </c>
      <c r="H84" s="364" t="str">
        <f>IF($C$13="A",IF(OR($G84="",$C$15="",$C$16="",$C28=""),"",8.34*$G84*$C$15*$C$16/$C28),"")</f>
        <v/>
      </c>
      <c r="I84" s="365" t="str">
        <f>IF($C$13="A",IF(D139="x",HASL!N18,""),"")</f>
        <v/>
      </c>
      <c r="J84" s="337" t="str">
        <f t="shared" ref="J84:J94" si="12">IF(C$13="", "",IF(D139="x",MIN(D84,I84),MIN(C84,F84,H84)))</f>
        <v/>
      </c>
      <c r="K84" s="262" t="str">
        <f>IF(J84="","No Criteria",IF(J84=C84,"Sludge Ceiling",IF(J84=D84,"Sludge Ceiling HASL",IF(J84=F84,"Cumul. Sludge Loading",IF(J84=H84,"Class A, Mon. Avg.","HASL - Cl. A Mon. Avg.")))))</f>
        <v>No Criteria</v>
      </c>
      <c r="N84" s="5"/>
      <c r="O84" s="5"/>
      <c r="P84" s="5"/>
      <c r="Q84" s="5"/>
      <c r="R84" s="5"/>
      <c r="S84" s="5"/>
    </row>
    <row r="85" spans="1:19" s="3" customFormat="1">
      <c r="A85" s="177" t="str">
        <f t="shared" si="11"/>
        <v>Chromium</v>
      </c>
      <c r="B85" s="178"/>
      <c r="C85" s="167"/>
      <c r="D85" s="184"/>
      <c r="E85" s="188"/>
      <c r="F85" s="180"/>
      <c r="G85" s="189"/>
      <c r="H85" s="364"/>
      <c r="I85" s="365"/>
      <c r="J85" s="337"/>
      <c r="K85" s="262"/>
      <c r="N85" s="7"/>
      <c r="O85" s="7"/>
      <c r="P85" s="7"/>
      <c r="Q85" s="7"/>
      <c r="R85" s="7"/>
      <c r="S85" s="7"/>
    </row>
    <row r="86" spans="1:19" s="6" customFormat="1">
      <c r="A86" s="167" t="str">
        <f t="shared" si="11"/>
        <v>Copper</v>
      </c>
      <c r="B86" s="178">
        <v>4300</v>
      </c>
      <c r="C86" s="167" t="str">
        <f>IF(OR($B86="",$C$15="",$C$16="",$C30=""),"",8.34*$B86*$C$15*$C$16/$C30)</f>
        <v/>
      </c>
      <c r="D86" s="184" t="str">
        <f>IF(C$13="A","",IF(D141="x",HASL!N20,""))</f>
        <v/>
      </c>
      <c r="E86" s="188">
        <v>1338</v>
      </c>
      <c r="F86" s="180" t="str">
        <f>IF(C$13="A","",IF(OR($E86="",$C$18="",$C30="",$C$17=""),"",0.2738*$E86*$C$17/($C30*$C$18)))</f>
        <v/>
      </c>
      <c r="G86" s="189">
        <v>1500</v>
      </c>
      <c r="H86" s="364" t="str">
        <f>IF($C$13="A",IF(OR($G86="",$C$15="",$C$16="",$C30=""),"",8.34*$G86*$C$15*$C$16/$C30),"")</f>
        <v/>
      </c>
      <c r="I86" s="365" t="str">
        <f>IF($C$13="A",IF(D141="x",HASL!N20,""),"")</f>
        <v/>
      </c>
      <c r="J86" s="337" t="str">
        <f t="shared" si="12"/>
        <v/>
      </c>
      <c r="K86" s="262" t="str">
        <f>IF(J86="","No Criteria",IF(J86=C86,"Sludge Ceiling",IF(J86=D86,"Sludge Ceiling HASL",IF(J86=F86,"Cumul. Sludge Loading",IF(J86=H86,"Class A, Mon. Avg.","HASL - Cl. A Mon. Avg.")))))</f>
        <v>No Criteria</v>
      </c>
      <c r="N86" s="5"/>
      <c r="O86" s="5"/>
      <c r="P86" s="5"/>
      <c r="Q86" s="5"/>
      <c r="R86" s="5"/>
      <c r="S86" s="5"/>
    </row>
    <row r="87" spans="1:19" s="6" customFormat="1">
      <c r="A87" s="167" t="str">
        <f t="shared" si="11"/>
        <v>Cyanide</v>
      </c>
      <c r="B87" s="178"/>
      <c r="C87" s="167"/>
      <c r="D87" s="184"/>
      <c r="E87" s="188"/>
      <c r="F87" s="180"/>
      <c r="G87" s="189"/>
      <c r="H87" s="364"/>
      <c r="I87" s="365"/>
      <c r="J87" s="337"/>
      <c r="K87" s="262"/>
      <c r="N87" s="5"/>
      <c r="O87" s="5"/>
      <c r="P87" s="5"/>
      <c r="Q87" s="5"/>
      <c r="R87" s="5"/>
      <c r="S87" s="5"/>
    </row>
    <row r="88" spans="1:19" s="6" customFormat="1">
      <c r="A88" s="167" t="str">
        <f t="shared" si="11"/>
        <v>Lead</v>
      </c>
      <c r="B88" s="178">
        <v>840</v>
      </c>
      <c r="C88" s="167" t="str">
        <f>IF(OR($B88="",$C$15="",$C$16="",$C32=""),"",8.34*$B88*$C$15*$C$16/$C32)</f>
        <v/>
      </c>
      <c r="D88" s="184" t="str">
        <f>IF(C$13="A","",IF(D143="x",HASL!N21,""))</f>
        <v/>
      </c>
      <c r="E88" s="188">
        <v>267</v>
      </c>
      <c r="F88" s="180" t="str">
        <f>IF(C$13="A","",IF(OR($E88="",$C$18="",$C32="",$C$17=""),"",0.2738*$E88*$C$17/($C32*$C$18)))</f>
        <v/>
      </c>
      <c r="G88" s="189">
        <v>300</v>
      </c>
      <c r="H88" s="364" t="str">
        <f>IF($C$13="A",IF(OR($G88="",$C$15="",$C$16="",$C32=""),"",8.34*$G88*$C$15*$C$16/$C32),"")</f>
        <v/>
      </c>
      <c r="I88" s="365" t="str">
        <f>IF($C$13="A",IF(D143="x",HASL!N21,""),"")</f>
        <v/>
      </c>
      <c r="J88" s="337" t="str">
        <f t="shared" si="12"/>
        <v/>
      </c>
      <c r="K88" s="262" t="str">
        <f>IF(J88="","No Criteria",IF(J88=C88,"Sludge Ceiling",IF(J88=D88,"Sludge Ceiling HASL",IF(J88=F88,"Cumul. Sludge Loading",IF(J88=H88,"Class A, Mon. Avg.","HASL - Cl. A Mon. Avg.")))))</f>
        <v>No Criteria</v>
      </c>
      <c r="N88" s="5"/>
      <c r="O88" s="5"/>
      <c r="P88" s="5"/>
      <c r="Q88" s="5"/>
      <c r="R88" s="5"/>
      <c r="S88" s="5"/>
    </row>
    <row r="89" spans="1:19" s="6" customFormat="1">
      <c r="A89" s="167" t="str">
        <f t="shared" si="11"/>
        <v>Mercury</v>
      </c>
      <c r="B89" s="178">
        <v>57</v>
      </c>
      <c r="C89" s="167" t="str">
        <f>IF(OR($B89="",$C$15="",$C$16="",$C33=""),"",8.34*$B89*$C$15*$C$16/$C33)</f>
        <v/>
      </c>
      <c r="D89" s="184" t="str">
        <f>IF(C$13="A","",IF(D144="x",HASL!N22,""))</f>
        <v/>
      </c>
      <c r="E89" s="188">
        <v>15</v>
      </c>
      <c r="F89" s="180" t="str">
        <f>IF(C$13="A","",IF(OR($E89="",$C$18="",$C33="",$C$17=""),"",0.2738*$E89*$C$17/($C33*$C$18)))</f>
        <v/>
      </c>
      <c r="G89" s="189">
        <v>17</v>
      </c>
      <c r="H89" s="364" t="str">
        <f>IF($C$13="A",IF(OR($G89="",$C$15="",$C$16="",$C33=""),"",8.34*$G89*$C$15*$C$16/$C33),"")</f>
        <v/>
      </c>
      <c r="I89" s="365" t="str">
        <f>IF($C$13="A",IF(D144="x",HASL!N22,""),"")</f>
        <v/>
      </c>
      <c r="J89" s="337" t="str">
        <f t="shared" si="12"/>
        <v/>
      </c>
      <c r="K89" s="262" t="str">
        <f>IF(J89="","No Criteria",IF(J89=C89,"Sludge Ceiling",IF(J89=D89,"Sludge Ceiling HASL",IF(J89=F89,"Cumul. Sludge Loading",IF(J89=H89,"Class A, Mon. Avg.","HASL - Cl. A Mon. Avg.")))))</f>
        <v>No Criteria</v>
      </c>
      <c r="N89" s="5"/>
      <c r="O89" s="5"/>
      <c r="P89" s="5"/>
      <c r="Q89" s="5"/>
      <c r="R89" s="5"/>
      <c r="S89" s="5"/>
    </row>
    <row r="90" spans="1:19" s="6" customFormat="1">
      <c r="A90" s="167" t="str">
        <f t="shared" si="11"/>
        <v>Molybdenum</v>
      </c>
      <c r="B90" s="178">
        <v>75</v>
      </c>
      <c r="C90" s="167" t="str">
        <f>IF(OR($B90="",$C$15="",$C$16="",$C34=""),"",8.34*$B90*$C$15*$C$16/$C34)</f>
        <v/>
      </c>
      <c r="D90" s="184" t="str">
        <f>IF(C$13="A","",IF(D145="x",HASL!N23,""))</f>
        <v/>
      </c>
      <c r="E90" s="188"/>
      <c r="F90" s="180"/>
      <c r="G90" s="189"/>
      <c r="H90" s="364"/>
      <c r="I90" s="365" t="str">
        <f>IF($C$13="A",IF(D145="x",HASL!N23,""),"")</f>
        <v/>
      </c>
      <c r="J90" s="337" t="str">
        <f t="shared" si="12"/>
        <v/>
      </c>
      <c r="K90" s="262" t="str">
        <f>IF(J90="","No Criteria",IF(J90=C90,"Sludge Ceiling",IF(J90=D90,"Sludge Ceiling HASL",IF(J90=F90,"Cumul. Sludge Loading",IF(J90=H90,"Class A, Mon. Avg.","HASL - Cl. A Mon. Avg.")))))</f>
        <v>No Criteria</v>
      </c>
      <c r="N90" s="5"/>
      <c r="O90" s="5"/>
      <c r="P90" s="5"/>
      <c r="Q90" s="5"/>
      <c r="R90" s="5"/>
      <c r="S90" s="5"/>
    </row>
    <row r="91" spans="1:19" s="6" customFormat="1">
      <c r="A91" s="167" t="str">
        <f t="shared" si="11"/>
        <v>Nickel</v>
      </c>
      <c r="B91" s="178">
        <v>420</v>
      </c>
      <c r="C91" s="167" t="str">
        <f>IF(OR($B91="",$C$15="",$C$16="",$C35=""),"",8.34*$B91*$C$15*$C$16/$C35)</f>
        <v/>
      </c>
      <c r="D91" s="184" t="str">
        <f>IF(C$13="A","",IF(D146="x",HASL!N24,""))</f>
        <v/>
      </c>
      <c r="E91" s="188">
        <v>374</v>
      </c>
      <c r="F91" s="180" t="str">
        <f>IF(C$13="A","",IF(OR($E91="",$C$18="",$C35="",$C$17=""),"",0.2738*$E91*$C$17/($C35*$C$18)))</f>
        <v/>
      </c>
      <c r="G91" s="189">
        <v>420</v>
      </c>
      <c r="H91" s="364" t="str">
        <f>IF($C$13="A",IF(OR($G91="",$C$15="",$C$16="",$C35=""),"",8.34*$G91*$C$15*$C$16/$C35),"")</f>
        <v/>
      </c>
      <c r="I91" s="365" t="str">
        <f>IF($C$13="A",IF(D146="x",HASL!N24,""),"")</f>
        <v/>
      </c>
      <c r="J91" s="337" t="str">
        <f t="shared" si="12"/>
        <v/>
      </c>
      <c r="K91" s="262" t="str">
        <f>IF(J91="","No Criteria",IF(J91=C91,"Sludge Ceiling",IF(J91=D91,"Sludge Ceiling HASL",IF(J91=F91,"Cumul. Sludge Loading",IF(J91=H91,"Class A, Mon. Avg.","HASL - Cl. A Mon. Avg.")))))</f>
        <v>No Criteria</v>
      </c>
      <c r="N91" s="5"/>
      <c r="O91" s="5"/>
      <c r="P91" s="5"/>
      <c r="Q91" s="5"/>
      <c r="R91" s="5"/>
      <c r="S91" s="5"/>
    </row>
    <row r="92" spans="1:19" s="6" customFormat="1">
      <c r="A92" s="167" t="str">
        <f t="shared" si="11"/>
        <v>Selenium</v>
      </c>
      <c r="B92" s="178">
        <v>100</v>
      </c>
      <c r="C92" s="167" t="str">
        <f>IF(OR($B92="",$C$15="",$C$16="",$C36=""),"",8.34*$B92*$C$15*$C$16/$C36)</f>
        <v/>
      </c>
      <c r="D92" s="184" t="str">
        <f>IF(C$13="A","",IF(D147="x",HASL!N25,""))</f>
        <v/>
      </c>
      <c r="E92" s="188">
        <v>89</v>
      </c>
      <c r="F92" s="180" t="str">
        <f>IF(C$13="A","",IF(OR($E92="",$C$18="",$C36="",$C$17=""),"",0.2738*$E92*$C$17/($C36*$C$18)))</f>
        <v/>
      </c>
      <c r="G92" s="189">
        <v>100</v>
      </c>
      <c r="H92" s="364" t="str">
        <f>IF($C$13="A",IF(OR($G92="",$C$15="",$C$16="",$C36=""),"",8.34*$G92*$C$15*$C$16/$C36),"")</f>
        <v/>
      </c>
      <c r="I92" s="365" t="str">
        <f>IF($C$13="A",IF(D147="x",HASL!N25,""),"")</f>
        <v/>
      </c>
      <c r="J92" s="337" t="str">
        <f t="shared" si="12"/>
        <v/>
      </c>
      <c r="K92" s="262" t="str">
        <f>IF(J92="","No Criteria",IF(J92=C92,"Sludge Ceiling",IF(J92=D92,"Sludge Ceiling HASL",IF(J92=F92,"Cumul. Sludge Loading",IF(J92=H92,"Class A, Mon. Avg.","HASL - Cl. A Mon. Avg.")))))</f>
        <v>No Criteria</v>
      </c>
      <c r="N92" s="5"/>
      <c r="O92" s="5"/>
      <c r="P92" s="5"/>
      <c r="Q92" s="5"/>
      <c r="R92" s="5"/>
      <c r="S92" s="5"/>
    </row>
    <row r="93" spans="1:19" s="6" customFormat="1">
      <c r="A93" s="167" t="str">
        <f t="shared" si="11"/>
        <v>Silver</v>
      </c>
      <c r="B93" s="178"/>
      <c r="C93" s="167"/>
      <c r="D93" s="184"/>
      <c r="E93" s="188"/>
      <c r="F93" s="180"/>
      <c r="G93" s="189"/>
      <c r="H93" s="364"/>
      <c r="I93" s="365"/>
      <c r="J93" s="337"/>
      <c r="K93" s="262"/>
      <c r="N93" s="5"/>
      <c r="O93" s="5"/>
      <c r="P93" s="5"/>
      <c r="Q93" s="5"/>
      <c r="R93" s="5"/>
      <c r="S93" s="5"/>
    </row>
    <row r="94" spans="1:19" s="6" customFormat="1">
      <c r="A94" s="167" t="str">
        <f t="shared" si="11"/>
        <v>Zinc</v>
      </c>
      <c r="B94" s="178">
        <v>7500</v>
      </c>
      <c r="C94" s="167" t="str">
        <f>IF(OR($B94="",$C$15="",$C$16="",$C38=""),"",8.34*$B94*$C$15*$C$16/$C38)</f>
        <v/>
      </c>
      <c r="D94" s="184" t="str">
        <f>IF(C$13="A","",IF(D149="x",HASL!N26,""))</f>
        <v/>
      </c>
      <c r="E94" s="188">
        <v>2498</v>
      </c>
      <c r="F94" s="180" t="str">
        <f>IF(C$13="A","",IF(OR($E94="",$C$18="",$C38="",$C$17=""),"",0.2738*$E94*$C$17/($C38*$C$18)))</f>
        <v/>
      </c>
      <c r="G94" s="189">
        <v>2800</v>
      </c>
      <c r="H94" s="364" t="str">
        <f>IF($C$13="A",IF(OR($G94="",$C$15="",$C$16="",$C38=""),"",8.34*$G94*$C$15*$C$16/$C38),"")</f>
        <v/>
      </c>
      <c r="I94" s="365" t="str">
        <f>IF($C$13="A",IF(D149="x",HASL!N26,""),"")</f>
        <v/>
      </c>
      <c r="J94" s="337" t="str">
        <f t="shared" si="12"/>
        <v/>
      </c>
      <c r="K94" s="262" t="str">
        <f>IF(J94="","No Criteria",IF(J94=C94,"Sludge Ceiling",IF(J94=D94,"Sludge Ceiling HASL",IF(J94=F94,"Cumul. Sludge Loading",IF(J94=H94,"Class A, Mon. Avg.","HASL - Cl. A Mon. Avg.")))))</f>
        <v>No Criteria</v>
      </c>
      <c r="N94" s="5"/>
      <c r="O94" s="5"/>
      <c r="P94" s="5"/>
      <c r="Q94" s="5"/>
      <c r="R94" s="5"/>
      <c r="S94" s="5"/>
    </row>
    <row r="95" spans="1:19" s="6" customFormat="1">
      <c r="A95" s="167" t="str">
        <f t="shared" si="11"/>
        <v>Total Nitrogen</v>
      </c>
      <c r="B95" s="178"/>
      <c r="C95" s="167"/>
      <c r="D95" s="184"/>
      <c r="E95" s="188"/>
      <c r="F95" s="181"/>
      <c r="G95" s="189"/>
      <c r="H95" s="167"/>
      <c r="I95" s="184"/>
      <c r="J95" s="260"/>
      <c r="K95" s="262" t="str">
        <f t="shared" ref="K95:K103" si="13">IF(J95="","",IF(J95=C95,"Sludge Ceiling",IF(J95=D95,"Sludge Ceiling HASL",IF(J95=F95,"Cumul. Sludge Loading",IF(J95=H95,"Class A, Mon. Avg.","HASL - Cl. A Mon. Avg.")))))</f>
        <v/>
      </c>
      <c r="N95" s="5"/>
      <c r="O95" s="5"/>
      <c r="P95" s="5"/>
      <c r="Q95" s="5"/>
      <c r="R95" s="5"/>
      <c r="S95" s="5"/>
    </row>
    <row r="96" spans="1:19" s="6" customFormat="1">
      <c r="A96" s="167" t="str">
        <f t="shared" si="11"/>
        <v>Total Phos.</v>
      </c>
      <c r="B96" s="178"/>
      <c r="C96" s="167"/>
      <c r="D96" s="184"/>
      <c r="E96" s="188"/>
      <c r="F96" s="181"/>
      <c r="G96" s="189"/>
      <c r="H96" s="167"/>
      <c r="I96" s="184"/>
      <c r="J96" s="260"/>
      <c r="K96" s="262" t="str">
        <f t="shared" si="13"/>
        <v/>
      </c>
      <c r="N96" s="5"/>
      <c r="O96" s="5"/>
      <c r="P96" s="5"/>
      <c r="Q96" s="5"/>
      <c r="R96" s="5"/>
      <c r="S96" s="5"/>
    </row>
    <row r="97" spans="1:19" s="6" customFormat="1">
      <c r="A97" s="167" t="str">
        <f t="shared" si="11"/>
        <v>c</v>
      </c>
      <c r="B97" s="178"/>
      <c r="C97" s="167"/>
      <c r="D97" s="184"/>
      <c r="E97" s="188"/>
      <c r="F97" s="181"/>
      <c r="G97" s="189"/>
      <c r="H97" s="167"/>
      <c r="I97" s="184"/>
      <c r="J97" s="260"/>
      <c r="K97" s="262" t="str">
        <f t="shared" si="13"/>
        <v/>
      </c>
      <c r="N97" s="5"/>
      <c r="O97" s="5"/>
      <c r="P97" s="5"/>
      <c r="Q97" s="5"/>
      <c r="R97" s="5"/>
      <c r="S97" s="5"/>
    </row>
    <row r="98" spans="1:19" s="6" customFormat="1">
      <c r="A98" s="167" t="str">
        <f t="shared" si="11"/>
        <v>d</v>
      </c>
      <c r="B98" s="178"/>
      <c r="C98" s="167"/>
      <c r="D98" s="184"/>
      <c r="E98" s="188"/>
      <c r="F98" s="181"/>
      <c r="G98" s="189"/>
      <c r="H98" s="167"/>
      <c r="I98" s="184"/>
      <c r="J98" s="260"/>
      <c r="K98" s="262" t="str">
        <f t="shared" si="13"/>
        <v/>
      </c>
      <c r="N98" s="5"/>
      <c r="O98" s="5"/>
      <c r="P98" s="5"/>
      <c r="Q98" s="5"/>
      <c r="R98" s="5"/>
      <c r="S98" s="5"/>
    </row>
    <row r="99" spans="1:19" s="6" customFormat="1">
      <c r="A99" s="167" t="str">
        <f t="shared" si="11"/>
        <v>e</v>
      </c>
      <c r="B99" s="178"/>
      <c r="C99" s="167"/>
      <c r="D99" s="184"/>
      <c r="E99" s="188"/>
      <c r="F99" s="181"/>
      <c r="G99" s="189"/>
      <c r="H99" s="167"/>
      <c r="I99" s="184"/>
      <c r="J99" s="260"/>
      <c r="K99" s="262" t="str">
        <f t="shared" si="13"/>
        <v/>
      </c>
      <c r="N99" s="5"/>
      <c r="O99" s="5"/>
      <c r="P99" s="5"/>
      <c r="Q99" s="5"/>
      <c r="R99" s="5"/>
      <c r="S99" s="5"/>
    </row>
    <row r="100" spans="1:19" s="6" customFormat="1">
      <c r="A100" s="167" t="str">
        <f t="shared" si="11"/>
        <v>f</v>
      </c>
      <c r="B100" s="178"/>
      <c r="C100" s="167"/>
      <c r="D100" s="184"/>
      <c r="E100" s="188"/>
      <c r="F100" s="181"/>
      <c r="G100" s="189"/>
      <c r="H100" s="167"/>
      <c r="I100" s="184"/>
      <c r="J100" s="260"/>
      <c r="K100" s="262" t="str">
        <f t="shared" si="13"/>
        <v/>
      </c>
      <c r="N100" s="5"/>
      <c r="O100" s="5"/>
      <c r="P100" s="5"/>
      <c r="Q100" s="5"/>
      <c r="R100" s="5"/>
      <c r="S100" s="5"/>
    </row>
    <row r="101" spans="1:19" s="6" customFormat="1">
      <c r="A101" s="167" t="str">
        <f t="shared" si="11"/>
        <v>g</v>
      </c>
      <c r="B101" s="178"/>
      <c r="C101" s="167"/>
      <c r="D101" s="184"/>
      <c r="E101" s="188"/>
      <c r="F101" s="181"/>
      <c r="G101" s="189"/>
      <c r="H101" s="167"/>
      <c r="I101" s="184"/>
      <c r="J101" s="260"/>
      <c r="K101" s="262" t="str">
        <f t="shared" si="13"/>
        <v/>
      </c>
      <c r="N101" s="5"/>
      <c r="O101" s="5"/>
      <c r="P101" s="5"/>
      <c r="Q101" s="5"/>
      <c r="R101" s="5"/>
      <c r="S101" s="5"/>
    </row>
    <row r="102" spans="1:19" s="6" customFormat="1">
      <c r="A102" s="167" t="str">
        <f t="shared" si="11"/>
        <v>h</v>
      </c>
      <c r="B102" s="178"/>
      <c r="C102" s="167"/>
      <c r="D102" s="184"/>
      <c r="E102" s="188"/>
      <c r="F102" s="181"/>
      <c r="G102" s="189"/>
      <c r="H102" s="167"/>
      <c r="I102" s="184"/>
      <c r="J102" s="260"/>
      <c r="K102" s="262" t="str">
        <f t="shared" si="13"/>
        <v/>
      </c>
      <c r="N102" s="5"/>
      <c r="O102" s="5"/>
      <c r="P102" s="5"/>
      <c r="Q102" s="5"/>
      <c r="R102" s="5"/>
      <c r="S102" s="5"/>
    </row>
    <row r="103" spans="1:19" s="6" customFormat="1" ht="13.5" thickBot="1">
      <c r="A103" s="167" t="str">
        <f t="shared" si="11"/>
        <v>I</v>
      </c>
      <c r="B103" s="179"/>
      <c r="C103" s="183"/>
      <c r="D103" s="190"/>
      <c r="E103" s="191"/>
      <c r="F103" s="182"/>
      <c r="G103" s="192"/>
      <c r="H103" s="183"/>
      <c r="I103" s="190"/>
      <c r="J103" s="261"/>
      <c r="K103" s="262" t="str">
        <f t="shared" si="13"/>
        <v/>
      </c>
      <c r="N103" s="5"/>
      <c r="O103" s="5"/>
      <c r="P103" s="5"/>
      <c r="Q103" s="5"/>
      <c r="R103" s="5"/>
      <c r="S103" s="5"/>
    </row>
    <row r="104" spans="1:19">
      <c r="A104" s="2"/>
      <c r="B104" s="21"/>
      <c r="C104" s="2"/>
      <c r="D104" s="21"/>
      <c r="E104" s="2"/>
      <c r="F104" s="2"/>
      <c r="G104" s="2"/>
      <c r="H104" s="2"/>
      <c r="I104" s="2"/>
      <c r="J104" s="2"/>
      <c r="K104" s="8"/>
      <c r="L104" s="8"/>
      <c r="M104" s="8"/>
      <c r="N104" s="8"/>
      <c r="O104" s="8"/>
      <c r="P104" s="8"/>
      <c r="Q104" s="8"/>
      <c r="R104" s="8"/>
      <c r="S104" s="8"/>
    </row>
    <row r="105" spans="1:19" ht="13.5" thickBot="1">
      <c r="A105" s="15" t="s">
        <v>31</v>
      </c>
      <c r="B105" s="2"/>
      <c r="C105" s="2"/>
      <c r="D105" s="2"/>
      <c r="E105" s="2"/>
      <c r="F105" s="2"/>
      <c r="G105" s="2"/>
      <c r="H105" s="2"/>
      <c r="I105" s="2"/>
      <c r="J105" s="2"/>
      <c r="K105" s="8"/>
      <c r="L105" s="8"/>
      <c r="M105" s="8"/>
      <c r="N105" s="8"/>
      <c r="O105" s="8"/>
      <c r="P105" s="8"/>
      <c r="Q105" s="8"/>
      <c r="R105" s="8"/>
      <c r="S105" s="8"/>
    </row>
    <row r="106" spans="1:19" ht="42.75">
      <c r="A106" s="297"/>
      <c r="B106" s="293" t="s">
        <v>174</v>
      </c>
      <c r="C106" s="294" t="s">
        <v>175</v>
      </c>
      <c r="D106" s="298" t="s">
        <v>134</v>
      </c>
      <c r="E106" s="299" t="s">
        <v>141</v>
      </c>
      <c r="F106" s="293" t="s">
        <v>138</v>
      </c>
      <c r="G106" s="296" t="s">
        <v>142</v>
      </c>
      <c r="H106" s="300"/>
      <c r="I106" s="293" t="s">
        <v>143</v>
      </c>
      <c r="J106" s="378" t="s">
        <v>144</v>
      </c>
      <c r="K106" s="379"/>
    </row>
    <row r="107" spans="1:19">
      <c r="A107" s="278" t="str">
        <f>$A24</f>
        <v>BOD</v>
      </c>
      <c r="B107" s="282" t="str">
        <f>+J24</f>
        <v/>
      </c>
      <c r="C107" s="283" t="str">
        <f>+K24</f>
        <v/>
      </c>
      <c r="D107" s="280" t="str">
        <f>+J53</f>
        <v/>
      </c>
      <c r="E107" s="276" t="str">
        <f>+K53</f>
        <v/>
      </c>
      <c r="F107" s="265" t="str">
        <f>IF(OR(J80="",J80=0),"",J80)</f>
        <v/>
      </c>
      <c r="G107" s="274"/>
      <c r="H107" s="272"/>
      <c r="I107" s="282" t="str">
        <f>IF(MIN($B107:$H107)=0,"",MIN($B107:$H107))</f>
        <v/>
      </c>
      <c r="J107" s="286" t="str">
        <f>IF(I107="","",IF(I107=B107,C107,IF(I107=D107,E107,G107)))</f>
        <v/>
      </c>
      <c r="K107" s="287"/>
    </row>
    <row r="108" spans="1:19">
      <c r="A108" s="278" t="str">
        <f>$A25</f>
        <v>TSS</v>
      </c>
      <c r="B108" s="282" t="str">
        <f t="shared" ref="B108:B130" si="14">+J25</f>
        <v/>
      </c>
      <c r="C108" s="283" t="str">
        <f t="shared" ref="C108:C130" si="15">+K25</f>
        <v/>
      </c>
      <c r="D108" s="280" t="str">
        <f t="shared" ref="D108:D130" si="16">+J54</f>
        <v/>
      </c>
      <c r="E108" s="276" t="str">
        <f t="shared" ref="E108:E130" si="17">+K54</f>
        <v/>
      </c>
      <c r="F108" s="265" t="str">
        <f t="shared" ref="F108:F130" si="18">IF(OR(J81="",J81=0),"",J81)</f>
        <v/>
      </c>
      <c r="G108" s="274"/>
      <c r="H108" s="272"/>
      <c r="I108" s="282" t="str">
        <f t="shared" ref="I108:I130" si="19">IF(MIN($B108:$H108)=0,"",MIN($B108:$H108))</f>
        <v/>
      </c>
      <c r="J108" s="286" t="str">
        <f t="shared" ref="J108:J130" si="20">IF(I108="","",IF(I108=B108,C108,IF(I108=D108,E108,G108)))</f>
        <v/>
      </c>
      <c r="K108" s="287"/>
    </row>
    <row r="109" spans="1:19">
      <c r="A109" s="278" t="str">
        <f t="shared" ref="A109:A130" si="21">$A26</f>
        <v>Ammonia</v>
      </c>
      <c r="B109" s="282" t="str">
        <f t="shared" si="14"/>
        <v/>
      </c>
      <c r="C109" s="283" t="str">
        <f t="shared" si="15"/>
        <v/>
      </c>
      <c r="D109" s="280" t="str">
        <f t="shared" si="16"/>
        <v/>
      </c>
      <c r="E109" s="276" t="str">
        <f t="shared" si="17"/>
        <v/>
      </c>
      <c r="F109" s="265" t="str">
        <f t="shared" si="18"/>
        <v/>
      </c>
      <c r="G109" s="274"/>
      <c r="H109" s="272"/>
      <c r="I109" s="282" t="str">
        <f t="shared" si="19"/>
        <v/>
      </c>
      <c r="J109" s="286" t="str">
        <f t="shared" si="20"/>
        <v/>
      </c>
      <c r="K109" s="287"/>
    </row>
    <row r="110" spans="1:19">
      <c r="A110" s="278" t="str">
        <f t="shared" si="21"/>
        <v>Arsenic</v>
      </c>
      <c r="B110" s="265" t="str">
        <f t="shared" si="14"/>
        <v/>
      </c>
      <c r="C110" s="283" t="str">
        <f t="shared" si="15"/>
        <v/>
      </c>
      <c r="D110" s="280" t="str">
        <f t="shared" si="16"/>
        <v/>
      </c>
      <c r="E110" s="276" t="str">
        <f t="shared" si="17"/>
        <v/>
      </c>
      <c r="F110" s="265" t="str">
        <f t="shared" si="18"/>
        <v/>
      </c>
      <c r="G110" s="274" t="str">
        <f>IF(F110="","",K83)</f>
        <v/>
      </c>
      <c r="H110" s="272"/>
      <c r="I110" s="265" t="str">
        <f t="shared" si="19"/>
        <v/>
      </c>
      <c r="J110" s="286" t="str">
        <f t="shared" si="20"/>
        <v/>
      </c>
      <c r="K110" s="287"/>
    </row>
    <row r="111" spans="1:19">
      <c r="A111" s="278" t="str">
        <f t="shared" si="21"/>
        <v>Cadmium</v>
      </c>
      <c r="B111" s="265" t="str">
        <f t="shared" si="14"/>
        <v/>
      </c>
      <c r="C111" s="283" t="str">
        <f t="shared" si="15"/>
        <v/>
      </c>
      <c r="D111" s="280" t="str">
        <f t="shared" si="16"/>
        <v/>
      </c>
      <c r="E111" s="276" t="str">
        <f t="shared" si="17"/>
        <v/>
      </c>
      <c r="F111" s="265" t="str">
        <f t="shared" si="18"/>
        <v/>
      </c>
      <c r="G111" s="274" t="str">
        <f t="shared" ref="G111:G121" si="22">IF(F111="","",K84)</f>
        <v/>
      </c>
      <c r="H111" s="272"/>
      <c r="I111" s="265" t="str">
        <f t="shared" si="19"/>
        <v/>
      </c>
      <c r="J111" s="286" t="str">
        <f t="shared" si="20"/>
        <v/>
      </c>
      <c r="K111" s="287"/>
    </row>
    <row r="112" spans="1:19">
      <c r="A112" s="278" t="str">
        <f t="shared" si="21"/>
        <v>Chromium</v>
      </c>
      <c r="B112" s="265" t="str">
        <f t="shared" si="14"/>
        <v/>
      </c>
      <c r="C112" s="283" t="str">
        <f t="shared" si="15"/>
        <v/>
      </c>
      <c r="D112" s="280" t="str">
        <f t="shared" si="16"/>
        <v/>
      </c>
      <c r="E112" s="276" t="str">
        <f t="shared" si="17"/>
        <v/>
      </c>
      <c r="F112" s="265" t="str">
        <f t="shared" si="18"/>
        <v/>
      </c>
      <c r="G112" s="274" t="str">
        <f t="shared" si="22"/>
        <v/>
      </c>
      <c r="H112" s="273"/>
      <c r="I112" s="265" t="str">
        <f t="shared" si="19"/>
        <v/>
      </c>
      <c r="J112" s="286" t="str">
        <f t="shared" si="20"/>
        <v/>
      </c>
      <c r="K112" s="287"/>
    </row>
    <row r="113" spans="1:11">
      <c r="A113" s="278" t="str">
        <f t="shared" si="21"/>
        <v>Copper</v>
      </c>
      <c r="B113" s="265" t="str">
        <f t="shared" si="14"/>
        <v/>
      </c>
      <c r="C113" s="283" t="str">
        <f t="shared" si="15"/>
        <v/>
      </c>
      <c r="D113" s="280" t="str">
        <f t="shared" si="16"/>
        <v/>
      </c>
      <c r="E113" s="276" t="str">
        <f t="shared" si="17"/>
        <v/>
      </c>
      <c r="F113" s="265" t="str">
        <f t="shared" si="18"/>
        <v/>
      </c>
      <c r="G113" s="274" t="str">
        <f t="shared" si="22"/>
        <v/>
      </c>
      <c r="H113" s="272"/>
      <c r="I113" s="265" t="str">
        <f t="shared" si="19"/>
        <v/>
      </c>
      <c r="J113" s="286" t="str">
        <f t="shared" si="20"/>
        <v/>
      </c>
      <c r="K113" s="287"/>
    </row>
    <row r="114" spans="1:11">
      <c r="A114" s="278" t="str">
        <f t="shared" si="21"/>
        <v>Cyanide</v>
      </c>
      <c r="B114" s="265" t="str">
        <f t="shared" si="14"/>
        <v/>
      </c>
      <c r="C114" s="283" t="str">
        <f t="shared" si="15"/>
        <v/>
      </c>
      <c r="D114" s="280" t="str">
        <f t="shared" si="16"/>
        <v/>
      </c>
      <c r="E114" s="276" t="str">
        <f t="shared" si="17"/>
        <v/>
      </c>
      <c r="F114" s="265" t="str">
        <f t="shared" si="18"/>
        <v/>
      </c>
      <c r="G114" s="274" t="str">
        <f t="shared" si="22"/>
        <v/>
      </c>
      <c r="H114" s="273"/>
      <c r="I114" s="265" t="str">
        <f t="shared" si="19"/>
        <v/>
      </c>
      <c r="J114" s="286" t="str">
        <f t="shared" si="20"/>
        <v/>
      </c>
      <c r="K114" s="287"/>
    </row>
    <row r="115" spans="1:11">
      <c r="A115" s="278" t="str">
        <f t="shared" si="21"/>
        <v>Lead</v>
      </c>
      <c r="B115" s="265" t="str">
        <f t="shared" si="14"/>
        <v/>
      </c>
      <c r="C115" s="283" t="str">
        <f t="shared" si="15"/>
        <v/>
      </c>
      <c r="D115" s="280" t="str">
        <f t="shared" si="16"/>
        <v/>
      </c>
      <c r="E115" s="276" t="str">
        <f t="shared" si="17"/>
        <v/>
      </c>
      <c r="F115" s="265" t="str">
        <f t="shared" si="18"/>
        <v/>
      </c>
      <c r="G115" s="274" t="str">
        <f t="shared" si="22"/>
        <v/>
      </c>
      <c r="H115" s="272"/>
      <c r="I115" s="265" t="str">
        <f t="shared" si="19"/>
        <v/>
      </c>
      <c r="J115" s="286" t="str">
        <f t="shared" si="20"/>
        <v/>
      </c>
      <c r="K115" s="287"/>
    </row>
    <row r="116" spans="1:11">
      <c r="A116" s="278" t="str">
        <f t="shared" si="21"/>
        <v>Mercury</v>
      </c>
      <c r="B116" s="288" t="str">
        <f t="shared" si="14"/>
        <v/>
      </c>
      <c r="C116" s="283" t="str">
        <f t="shared" si="15"/>
        <v/>
      </c>
      <c r="D116" s="280" t="str">
        <f t="shared" si="16"/>
        <v/>
      </c>
      <c r="E116" s="276" t="str">
        <f t="shared" si="17"/>
        <v/>
      </c>
      <c r="F116" s="265" t="str">
        <f t="shared" si="18"/>
        <v/>
      </c>
      <c r="G116" s="274" t="str">
        <f t="shared" si="22"/>
        <v/>
      </c>
      <c r="H116" s="272"/>
      <c r="I116" s="288" t="str">
        <f t="shared" si="19"/>
        <v/>
      </c>
      <c r="J116" s="286" t="str">
        <f t="shared" si="20"/>
        <v/>
      </c>
      <c r="K116" s="287"/>
    </row>
    <row r="117" spans="1:11">
      <c r="A117" s="278" t="str">
        <f t="shared" si="21"/>
        <v>Molybdenum</v>
      </c>
      <c r="B117" s="265" t="str">
        <f t="shared" si="14"/>
        <v/>
      </c>
      <c r="C117" s="283" t="str">
        <f t="shared" si="15"/>
        <v/>
      </c>
      <c r="D117" s="280" t="str">
        <f t="shared" si="16"/>
        <v/>
      </c>
      <c r="E117" s="276" t="str">
        <f t="shared" si="17"/>
        <v/>
      </c>
      <c r="F117" s="265" t="str">
        <f t="shared" si="18"/>
        <v/>
      </c>
      <c r="G117" s="274" t="str">
        <f t="shared" si="22"/>
        <v/>
      </c>
      <c r="H117" s="272"/>
      <c r="I117" s="265" t="str">
        <f t="shared" si="19"/>
        <v/>
      </c>
      <c r="J117" s="286" t="str">
        <f t="shared" si="20"/>
        <v/>
      </c>
      <c r="K117" s="287"/>
    </row>
    <row r="118" spans="1:11">
      <c r="A118" s="278" t="str">
        <f t="shared" si="21"/>
        <v>Nickel</v>
      </c>
      <c r="B118" s="265" t="str">
        <f t="shared" si="14"/>
        <v/>
      </c>
      <c r="C118" s="283" t="str">
        <f t="shared" si="15"/>
        <v/>
      </c>
      <c r="D118" s="280" t="str">
        <f t="shared" si="16"/>
        <v/>
      </c>
      <c r="E118" s="276" t="str">
        <f t="shared" si="17"/>
        <v/>
      </c>
      <c r="F118" s="265" t="str">
        <f t="shared" si="18"/>
        <v/>
      </c>
      <c r="G118" s="274" t="str">
        <f t="shared" si="22"/>
        <v/>
      </c>
      <c r="H118" s="272"/>
      <c r="I118" s="265" t="str">
        <f t="shared" si="19"/>
        <v/>
      </c>
      <c r="J118" s="286" t="str">
        <f t="shared" si="20"/>
        <v/>
      </c>
      <c r="K118" s="287"/>
    </row>
    <row r="119" spans="1:11">
      <c r="A119" s="278" t="str">
        <f t="shared" si="21"/>
        <v>Selenium</v>
      </c>
      <c r="B119" s="265" t="str">
        <f t="shared" si="14"/>
        <v/>
      </c>
      <c r="C119" s="283" t="str">
        <f t="shared" si="15"/>
        <v/>
      </c>
      <c r="D119" s="280" t="str">
        <f t="shared" si="16"/>
        <v/>
      </c>
      <c r="E119" s="276" t="str">
        <f t="shared" si="17"/>
        <v/>
      </c>
      <c r="F119" s="265" t="str">
        <f t="shared" si="18"/>
        <v/>
      </c>
      <c r="G119" s="274" t="str">
        <f t="shared" si="22"/>
        <v/>
      </c>
      <c r="H119" s="272"/>
      <c r="I119" s="265" t="str">
        <f t="shared" si="19"/>
        <v/>
      </c>
      <c r="J119" s="286" t="str">
        <f t="shared" si="20"/>
        <v/>
      </c>
      <c r="K119" s="287"/>
    </row>
    <row r="120" spans="1:11">
      <c r="A120" s="278" t="str">
        <f t="shared" si="21"/>
        <v>Silver</v>
      </c>
      <c r="B120" s="265" t="str">
        <f t="shared" si="14"/>
        <v/>
      </c>
      <c r="C120" s="283" t="str">
        <f t="shared" si="15"/>
        <v/>
      </c>
      <c r="D120" s="280" t="str">
        <f t="shared" si="16"/>
        <v/>
      </c>
      <c r="E120" s="276" t="str">
        <f t="shared" si="17"/>
        <v/>
      </c>
      <c r="F120" s="265" t="str">
        <f t="shared" si="18"/>
        <v/>
      </c>
      <c r="G120" s="274" t="str">
        <f t="shared" si="22"/>
        <v/>
      </c>
      <c r="H120" s="273"/>
      <c r="I120" s="265" t="str">
        <f t="shared" si="19"/>
        <v/>
      </c>
      <c r="J120" s="286" t="str">
        <f t="shared" si="20"/>
        <v/>
      </c>
      <c r="K120" s="287"/>
    </row>
    <row r="121" spans="1:11">
      <c r="A121" s="278" t="str">
        <f t="shared" si="21"/>
        <v>Zinc</v>
      </c>
      <c r="B121" s="265" t="str">
        <f t="shared" si="14"/>
        <v/>
      </c>
      <c r="C121" s="283" t="str">
        <f t="shared" si="15"/>
        <v/>
      </c>
      <c r="D121" s="280" t="str">
        <f t="shared" si="16"/>
        <v/>
      </c>
      <c r="E121" s="276" t="str">
        <f t="shared" si="17"/>
        <v/>
      </c>
      <c r="F121" s="265" t="str">
        <f t="shared" si="18"/>
        <v/>
      </c>
      <c r="G121" s="274" t="str">
        <f t="shared" si="22"/>
        <v/>
      </c>
      <c r="H121" s="272"/>
      <c r="I121" s="265" t="str">
        <f t="shared" si="19"/>
        <v/>
      </c>
      <c r="J121" s="286" t="str">
        <f t="shared" si="20"/>
        <v/>
      </c>
      <c r="K121" s="287"/>
    </row>
    <row r="122" spans="1:11">
      <c r="A122" s="278" t="str">
        <f t="shared" si="21"/>
        <v>Total Nitrogen</v>
      </c>
      <c r="B122" s="282" t="str">
        <f t="shared" si="14"/>
        <v/>
      </c>
      <c r="C122" s="283" t="str">
        <f t="shared" si="15"/>
        <v/>
      </c>
      <c r="D122" s="280" t="str">
        <f t="shared" si="16"/>
        <v/>
      </c>
      <c r="E122" s="276" t="str">
        <f t="shared" si="17"/>
        <v/>
      </c>
      <c r="F122" s="265" t="str">
        <f t="shared" si="18"/>
        <v/>
      </c>
      <c r="G122" s="274" t="str">
        <f t="shared" ref="G122:G130" si="23">+K95</f>
        <v/>
      </c>
      <c r="H122" s="272"/>
      <c r="I122" s="265" t="str">
        <f t="shared" si="19"/>
        <v/>
      </c>
      <c r="J122" s="286" t="str">
        <f t="shared" si="20"/>
        <v/>
      </c>
      <c r="K122" s="287"/>
    </row>
    <row r="123" spans="1:11">
      <c r="A123" s="278" t="str">
        <f t="shared" si="21"/>
        <v>Total Phos.</v>
      </c>
      <c r="B123" s="282" t="str">
        <f t="shared" si="14"/>
        <v/>
      </c>
      <c r="C123" s="283" t="str">
        <f t="shared" si="15"/>
        <v/>
      </c>
      <c r="D123" s="280" t="str">
        <f t="shared" si="16"/>
        <v/>
      </c>
      <c r="E123" s="276" t="str">
        <f t="shared" si="17"/>
        <v/>
      </c>
      <c r="F123" s="265" t="str">
        <f t="shared" si="18"/>
        <v/>
      </c>
      <c r="G123" s="274" t="str">
        <f t="shared" si="23"/>
        <v/>
      </c>
      <c r="H123" s="272"/>
      <c r="I123" s="265" t="str">
        <f t="shared" si="19"/>
        <v/>
      </c>
      <c r="J123" s="286" t="str">
        <f t="shared" si="20"/>
        <v/>
      </c>
      <c r="K123" s="287"/>
    </row>
    <row r="124" spans="1:11">
      <c r="A124" s="278" t="str">
        <f t="shared" si="21"/>
        <v>c</v>
      </c>
      <c r="B124" s="282" t="str">
        <f t="shared" si="14"/>
        <v/>
      </c>
      <c r="C124" s="283" t="str">
        <f t="shared" si="15"/>
        <v/>
      </c>
      <c r="D124" s="280" t="str">
        <f t="shared" si="16"/>
        <v/>
      </c>
      <c r="E124" s="276" t="str">
        <f t="shared" si="17"/>
        <v/>
      </c>
      <c r="F124" s="265" t="str">
        <f t="shared" si="18"/>
        <v/>
      </c>
      <c r="G124" s="274" t="str">
        <f t="shared" si="23"/>
        <v/>
      </c>
      <c r="H124" s="272"/>
      <c r="I124" s="265" t="str">
        <f t="shared" si="19"/>
        <v/>
      </c>
      <c r="J124" s="286" t="str">
        <f t="shared" si="20"/>
        <v/>
      </c>
      <c r="K124" s="287"/>
    </row>
    <row r="125" spans="1:11">
      <c r="A125" s="278" t="str">
        <f t="shared" si="21"/>
        <v>d</v>
      </c>
      <c r="B125" s="282" t="str">
        <f t="shared" si="14"/>
        <v/>
      </c>
      <c r="C125" s="283" t="str">
        <f t="shared" si="15"/>
        <v/>
      </c>
      <c r="D125" s="280" t="str">
        <f t="shared" si="16"/>
        <v/>
      </c>
      <c r="E125" s="276" t="str">
        <f t="shared" si="17"/>
        <v/>
      </c>
      <c r="F125" s="265" t="str">
        <f t="shared" si="18"/>
        <v/>
      </c>
      <c r="G125" s="274" t="str">
        <f t="shared" si="23"/>
        <v/>
      </c>
      <c r="H125" s="272"/>
      <c r="I125" s="265" t="str">
        <f t="shared" si="19"/>
        <v/>
      </c>
      <c r="J125" s="286" t="str">
        <f t="shared" si="20"/>
        <v/>
      </c>
      <c r="K125" s="287"/>
    </row>
    <row r="126" spans="1:11">
      <c r="A126" s="278" t="str">
        <f t="shared" si="21"/>
        <v>e</v>
      </c>
      <c r="B126" s="282" t="str">
        <f t="shared" si="14"/>
        <v/>
      </c>
      <c r="C126" s="283" t="str">
        <f t="shared" si="15"/>
        <v/>
      </c>
      <c r="D126" s="280" t="str">
        <f t="shared" si="16"/>
        <v/>
      </c>
      <c r="E126" s="276" t="str">
        <f t="shared" si="17"/>
        <v/>
      </c>
      <c r="F126" s="265" t="str">
        <f t="shared" si="18"/>
        <v/>
      </c>
      <c r="G126" s="274" t="str">
        <f t="shared" si="23"/>
        <v/>
      </c>
      <c r="H126" s="272"/>
      <c r="I126" s="265" t="str">
        <f t="shared" si="19"/>
        <v/>
      </c>
      <c r="J126" s="286" t="str">
        <f t="shared" si="20"/>
        <v/>
      </c>
      <c r="K126" s="287"/>
    </row>
    <row r="127" spans="1:11">
      <c r="A127" s="278" t="str">
        <f t="shared" si="21"/>
        <v>f</v>
      </c>
      <c r="B127" s="282" t="str">
        <f t="shared" si="14"/>
        <v/>
      </c>
      <c r="C127" s="283" t="str">
        <f t="shared" si="15"/>
        <v/>
      </c>
      <c r="D127" s="280" t="str">
        <f t="shared" si="16"/>
        <v/>
      </c>
      <c r="E127" s="276" t="str">
        <f t="shared" si="17"/>
        <v/>
      </c>
      <c r="F127" s="265" t="str">
        <f t="shared" si="18"/>
        <v/>
      </c>
      <c r="G127" s="274" t="str">
        <f t="shared" si="23"/>
        <v/>
      </c>
      <c r="H127" s="272"/>
      <c r="I127" s="265" t="str">
        <f t="shared" si="19"/>
        <v/>
      </c>
      <c r="J127" s="286" t="str">
        <f t="shared" si="20"/>
        <v/>
      </c>
      <c r="K127" s="287"/>
    </row>
    <row r="128" spans="1:11">
      <c r="A128" s="278" t="str">
        <f t="shared" si="21"/>
        <v>g</v>
      </c>
      <c r="B128" s="282" t="str">
        <f t="shared" si="14"/>
        <v/>
      </c>
      <c r="C128" s="283" t="str">
        <f t="shared" si="15"/>
        <v/>
      </c>
      <c r="D128" s="280" t="str">
        <f t="shared" si="16"/>
        <v/>
      </c>
      <c r="E128" s="276" t="str">
        <f t="shared" si="17"/>
        <v/>
      </c>
      <c r="F128" s="265" t="str">
        <f t="shared" si="18"/>
        <v/>
      </c>
      <c r="G128" s="274" t="str">
        <f t="shared" si="23"/>
        <v/>
      </c>
      <c r="H128" s="272"/>
      <c r="I128" s="265" t="str">
        <f t="shared" si="19"/>
        <v/>
      </c>
      <c r="J128" s="286" t="str">
        <f t="shared" si="20"/>
        <v/>
      </c>
      <c r="K128" s="287"/>
    </row>
    <row r="129" spans="1:19">
      <c r="A129" s="278" t="str">
        <f t="shared" si="21"/>
        <v>h</v>
      </c>
      <c r="B129" s="282" t="str">
        <f t="shared" si="14"/>
        <v/>
      </c>
      <c r="C129" s="283" t="str">
        <f t="shared" si="15"/>
        <v/>
      </c>
      <c r="D129" s="280" t="str">
        <f t="shared" si="16"/>
        <v/>
      </c>
      <c r="E129" s="276" t="str">
        <f t="shared" si="17"/>
        <v/>
      </c>
      <c r="F129" s="265" t="str">
        <f t="shared" si="18"/>
        <v/>
      </c>
      <c r="G129" s="274" t="str">
        <f t="shared" si="23"/>
        <v/>
      </c>
      <c r="H129" s="272"/>
      <c r="I129" s="265" t="str">
        <f t="shared" si="19"/>
        <v/>
      </c>
      <c r="J129" s="286" t="str">
        <f t="shared" si="20"/>
        <v/>
      </c>
      <c r="K129" s="287"/>
    </row>
    <row r="130" spans="1:19" ht="13.5" thickBot="1">
      <c r="A130" s="279" t="str">
        <f t="shared" si="21"/>
        <v>I</v>
      </c>
      <c r="B130" s="284" t="str">
        <f t="shared" si="14"/>
        <v/>
      </c>
      <c r="C130" s="285" t="str">
        <f t="shared" si="15"/>
        <v/>
      </c>
      <c r="D130" s="281" t="str">
        <f t="shared" si="16"/>
        <v/>
      </c>
      <c r="E130" s="277" t="str">
        <f t="shared" si="17"/>
        <v/>
      </c>
      <c r="F130" s="265" t="str">
        <f t="shared" si="18"/>
        <v/>
      </c>
      <c r="G130" s="275" t="str">
        <f t="shared" si="23"/>
        <v/>
      </c>
      <c r="H130" s="272"/>
      <c r="I130" s="267" t="str">
        <f t="shared" si="19"/>
        <v/>
      </c>
      <c r="J130" s="289" t="str">
        <f t="shared" si="20"/>
        <v/>
      </c>
      <c r="K130" s="290"/>
    </row>
    <row r="131" spans="1:19">
      <c r="A131" s="2"/>
      <c r="B131" s="21"/>
      <c r="C131" s="2"/>
      <c r="D131" s="21"/>
      <c r="E131" s="2"/>
      <c r="F131" s="2"/>
      <c r="G131" s="2"/>
      <c r="H131" s="2"/>
      <c r="I131" s="2"/>
      <c r="J131" s="2"/>
      <c r="K131" s="8"/>
      <c r="L131" s="8"/>
      <c r="M131" s="8"/>
      <c r="N131" s="8"/>
      <c r="O131" s="8"/>
      <c r="P131" s="8"/>
      <c r="Q131" s="8"/>
      <c r="R131" s="8"/>
      <c r="S131" s="8"/>
    </row>
    <row r="132" spans="1:19">
      <c r="A132" s="2"/>
      <c r="B132" s="2"/>
      <c r="C132" s="2"/>
      <c r="D132" s="2"/>
      <c r="E132" s="2"/>
      <c r="F132" s="2"/>
      <c r="G132" s="2"/>
      <c r="H132" s="2"/>
      <c r="I132" s="2"/>
      <c r="J132" s="2"/>
      <c r="K132" s="8"/>
      <c r="L132" s="8"/>
      <c r="M132" s="8"/>
      <c r="N132" s="8"/>
      <c r="O132" s="8"/>
      <c r="P132" s="8"/>
      <c r="Q132" s="8"/>
      <c r="R132" s="8"/>
      <c r="S132" s="8"/>
    </row>
    <row r="133" spans="1:19" ht="12" customHeight="1">
      <c r="A133" s="15" t="s">
        <v>32</v>
      </c>
      <c r="B133" s="2"/>
      <c r="C133" s="2"/>
      <c r="D133" s="2"/>
      <c r="E133" s="2"/>
      <c r="F133" s="2"/>
      <c r="G133" s="2"/>
      <c r="H133" s="2"/>
      <c r="I133" s="2"/>
      <c r="J133" s="2"/>
      <c r="K133" s="8"/>
      <c r="L133" s="8"/>
      <c r="M133" s="8"/>
      <c r="N133" s="8"/>
      <c r="O133" s="8"/>
      <c r="P133" s="8"/>
      <c r="Q133" s="8"/>
      <c r="R133" s="8"/>
      <c r="S133" s="8"/>
    </row>
    <row r="134" spans="1:19" ht="47.25" customHeight="1" thickBot="1">
      <c r="A134" s="304" t="s">
        <v>12</v>
      </c>
      <c r="B134" s="305" t="s">
        <v>143</v>
      </c>
      <c r="C134" s="306" t="s">
        <v>153</v>
      </c>
      <c r="D134" s="366" t="s">
        <v>152</v>
      </c>
      <c r="E134" s="307" t="s">
        <v>160</v>
      </c>
      <c r="F134" s="308" t="s">
        <v>145</v>
      </c>
      <c r="G134" s="305" t="s">
        <v>146</v>
      </c>
      <c r="H134" s="305" t="s">
        <v>147</v>
      </c>
      <c r="I134" s="340" t="s">
        <v>176</v>
      </c>
      <c r="J134" s="2"/>
    </row>
    <row r="135" spans="1:19" ht="14.25" thickTop="1" thickBot="1">
      <c r="A135" s="301" t="str">
        <f>A24</f>
        <v>BOD</v>
      </c>
      <c r="B135" s="302" t="str">
        <f t="shared" ref="B135:B158" si="24">$I107</f>
        <v/>
      </c>
      <c r="C135" s="247" t="str">
        <f>+J107</f>
        <v/>
      </c>
      <c r="D135" s="319"/>
      <c r="E135" s="174"/>
      <c r="F135" s="174"/>
      <c r="G135" s="302" t="str">
        <f t="shared" ref="G135:G158" si="25">IF(OR($C$9="",$E135=""),"",$E135*$C$9*8.34)</f>
        <v/>
      </c>
      <c r="H135" s="302" t="str">
        <f t="shared" ref="H135:H158" si="26">IF(OR($G135="",$B135=""),"",$B135-$G135)</f>
        <v/>
      </c>
      <c r="I135" s="185" t="str">
        <f>IF(B135&gt;I24,"Warning - MAHL exceeds Design Criteria!","")</f>
        <v/>
      </c>
      <c r="J135" s="2"/>
    </row>
    <row r="136" spans="1:19" ht="14.25" thickTop="1" thickBot="1">
      <c r="A136" s="18" t="str">
        <f>A25</f>
        <v>TSS</v>
      </c>
      <c r="B136" s="4" t="str">
        <f t="shared" si="24"/>
        <v/>
      </c>
      <c r="C136" s="167" t="str">
        <f t="shared" ref="C136:C158" si="27">+J108</f>
        <v/>
      </c>
      <c r="D136" s="319"/>
      <c r="E136" s="10"/>
      <c r="F136" s="174"/>
      <c r="G136" s="4" t="str">
        <f t="shared" si="25"/>
        <v/>
      </c>
      <c r="H136" s="4" t="str">
        <f t="shared" si="26"/>
        <v/>
      </c>
      <c r="I136" s="185" t="str">
        <f>IF(B136&gt;I25,"Warning - MAHL exceeds Design Criteria!","")</f>
        <v/>
      </c>
      <c r="J136" s="2"/>
    </row>
    <row r="137" spans="1:19" ht="14.25" thickTop="1" thickBot="1">
      <c r="A137" s="18" t="str">
        <f t="shared" ref="A137:A158" si="28">A26</f>
        <v>Ammonia</v>
      </c>
      <c r="B137" s="4" t="str">
        <f t="shared" si="24"/>
        <v/>
      </c>
      <c r="C137" s="167" t="str">
        <f t="shared" si="27"/>
        <v/>
      </c>
      <c r="D137" s="321"/>
      <c r="E137" s="10"/>
      <c r="F137" s="174"/>
      <c r="G137" s="4" t="str">
        <f t="shared" si="25"/>
        <v/>
      </c>
      <c r="H137" s="4" t="str">
        <f t="shared" si="26"/>
        <v/>
      </c>
      <c r="I137" s="185" t="str">
        <f>IF(B137&gt;I26,"Warning - MAHL exceeds Design Criteria!","")</f>
        <v/>
      </c>
      <c r="J137" s="2"/>
    </row>
    <row r="138" spans="1:19" ht="14.25" thickTop="1" thickBot="1">
      <c r="A138" s="18" t="str">
        <f t="shared" si="28"/>
        <v>Arsenic</v>
      </c>
      <c r="B138" s="4" t="str">
        <f t="shared" si="24"/>
        <v/>
      </c>
      <c r="C138" s="167" t="str">
        <f t="shared" si="27"/>
        <v/>
      </c>
      <c r="D138" s="186"/>
      <c r="E138" s="10"/>
      <c r="F138" s="10"/>
      <c r="G138" s="4" t="str">
        <f t="shared" si="25"/>
        <v/>
      </c>
      <c r="H138" s="4" t="str">
        <f t="shared" si="26"/>
        <v/>
      </c>
      <c r="I138" s="185"/>
      <c r="J138" s="2"/>
    </row>
    <row r="139" spans="1:19" ht="14.25" thickTop="1" thickBot="1">
      <c r="A139" s="18" t="str">
        <f t="shared" si="28"/>
        <v>Cadmium</v>
      </c>
      <c r="B139" s="4" t="str">
        <f t="shared" si="24"/>
        <v/>
      </c>
      <c r="C139" s="167" t="str">
        <f t="shared" si="27"/>
        <v/>
      </c>
      <c r="D139" s="186"/>
      <c r="E139" s="10"/>
      <c r="F139" s="10"/>
      <c r="G139" s="4" t="str">
        <f t="shared" si="25"/>
        <v/>
      </c>
      <c r="H139" s="329" t="str">
        <f t="shared" si="26"/>
        <v/>
      </c>
      <c r="I139" s="185"/>
      <c r="J139" s="2"/>
    </row>
    <row r="140" spans="1:19" ht="14.25" thickTop="1" thickBot="1">
      <c r="A140" s="18" t="str">
        <f t="shared" si="28"/>
        <v>Chromium</v>
      </c>
      <c r="B140" s="4" t="str">
        <f t="shared" si="24"/>
        <v/>
      </c>
      <c r="C140" s="167" t="str">
        <f t="shared" si="27"/>
        <v/>
      </c>
      <c r="D140" s="187" t="s">
        <v>119</v>
      </c>
      <c r="E140" s="10"/>
      <c r="F140" s="174"/>
      <c r="G140" s="4" t="str">
        <f t="shared" si="25"/>
        <v/>
      </c>
      <c r="H140" s="4" t="str">
        <f t="shared" si="26"/>
        <v/>
      </c>
      <c r="I140" s="185"/>
      <c r="J140" s="2"/>
    </row>
    <row r="141" spans="1:19" ht="14.25" thickTop="1" thickBot="1">
      <c r="A141" s="18" t="str">
        <f t="shared" si="28"/>
        <v>Copper</v>
      </c>
      <c r="B141" s="4" t="str">
        <f t="shared" si="24"/>
        <v/>
      </c>
      <c r="C141" s="167" t="str">
        <f t="shared" si="27"/>
        <v/>
      </c>
      <c r="D141" s="186"/>
      <c r="E141" s="10"/>
      <c r="F141" s="174"/>
      <c r="G141" s="4" t="str">
        <f t="shared" si="25"/>
        <v/>
      </c>
      <c r="H141" s="329" t="str">
        <f t="shared" si="26"/>
        <v/>
      </c>
      <c r="I141" s="185"/>
      <c r="J141" s="2"/>
    </row>
    <row r="142" spans="1:19" ht="14.25" thickTop="1" thickBot="1">
      <c r="A142" s="18" t="str">
        <f t="shared" si="28"/>
        <v>Cyanide</v>
      </c>
      <c r="B142" s="4" t="str">
        <f t="shared" si="24"/>
        <v/>
      </c>
      <c r="C142" s="167" t="str">
        <f t="shared" si="27"/>
        <v/>
      </c>
      <c r="D142" s="187" t="s">
        <v>119</v>
      </c>
      <c r="E142" s="10"/>
      <c r="F142" s="174"/>
      <c r="G142" s="4" t="str">
        <f t="shared" si="25"/>
        <v/>
      </c>
      <c r="H142" s="4" t="str">
        <f t="shared" si="26"/>
        <v/>
      </c>
      <c r="I142" s="185"/>
      <c r="J142" s="2"/>
    </row>
    <row r="143" spans="1:19" ht="14.25" thickTop="1" thickBot="1">
      <c r="A143" s="18" t="str">
        <f t="shared" si="28"/>
        <v>Lead</v>
      </c>
      <c r="B143" s="4" t="str">
        <f t="shared" si="24"/>
        <v/>
      </c>
      <c r="C143" s="167" t="str">
        <f t="shared" si="27"/>
        <v/>
      </c>
      <c r="D143" s="186"/>
      <c r="E143" s="10"/>
      <c r="F143" s="174"/>
      <c r="G143" s="4" t="str">
        <f t="shared" si="25"/>
        <v/>
      </c>
      <c r="H143" s="4" t="str">
        <f t="shared" si="26"/>
        <v/>
      </c>
      <c r="I143" s="185"/>
      <c r="J143" s="2"/>
    </row>
    <row r="144" spans="1:19" ht="14.25" thickTop="1" thickBot="1">
      <c r="A144" s="18" t="str">
        <f t="shared" si="28"/>
        <v>Mercury</v>
      </c>
      <c r="B144" s="20" t="str">
        <f t="shared" si="24"/>
        <v/>
      </c>
      <c r="C144" s="167" t="str">
        <f t="shared" si="27"/>
        <v/>
      </c>
      <c r="D144" s="186"/>
      <c r="E144" s="10"/>
      <c r="F144" s="174"/>
      <c r="G144" s="20" t="str">
        <f t="shared" si="25"/>
        <v/>
      </c>
      <c r="H144" s="20" t="str">
        <f t="shared" si="26"/>
        <v/>
      </c>
      <c r="I144" s="185"/>
      <c r="J144" s="2"/>
    </row>
    <row r="145" spans="1:10" ht="14.25" thickTop="1" thickBot="1">
      <c r="A145" s="18" t="str">
        <f t="shared" si="28"/>
        <v>Molybdenum</v>
      </c>
      <c r="B145" s="4" t="str">
        <f t="shared" si="24"/>
        <v/>
      </c>
      <c r="C145" s="167" t="str">
        <f t="shared" si="27"/>
        <v/>
      </c>
      <c r="D145" s="186"/>
      <c r="E145" s="10"/>
      <c r="F145" s="10"/>
      <c r="G145" s="4" t="str">
        <f t="shared" si="25"/>
        <v/>
      </c>
      <c r="H145" s="329" t="str">
        <f t="shared" si="26"/>
        <v/>
      </c>
      <c r="I145" s="185"/>
      <c r="J145" s="2"/>
    </row>
    <row r="146" spans="1:10" ht="14.25" thickTop="1" thickBot="1">
      <c r="A146" s="18" t="str">
        <f t="shared" si="28"/>
        <v>Nickel</v>
      </c>
      <c r="B146" s="4" t="str">
        <f t="shared" si="24"/>
        <v/>
      </c>
      <c r="C146" s="167" t="str">
        <f t="shared" si="27"/>
        <v/>
      </c>
      <c r="D146" s="186"/>
      <c r="E146" s="10"/>
      <c r="F146" s="10"/>
      <c r="G146" s="4" t="str">
        <f t="shared" si="25"/>
        <v/>
      </c>
      <c r="H146" s="329" t="str">
        <f t="shared" si="26"/>
        <v/>
      </c>
      <c r="I146" s="185"/>
      <c r="J146" s="2"/>
    </row>
    <row r="147" spans="1:10" ht="14.25" thickTop="1" thickBot="1">
      <c r="A147" s="18" t="str">
        <f t="shared" si="28"/>
        <v>Selenium</v>
      </c>
      <c r="B147" s="4" t="str">
        <f t="shared" si="24"/>
        <v/>
      </c>
      <c r="C147" s="167" t="str">
        <f t="shared" si="27"/>
        <v/>
      </c>
      <c r="D147" s="186"/>
      <c r="E147" s="10"/>
      <c r="F147" s="10"/>
      <c r="G147" s="4" t="str">
        <f t="shared" si="25"/>
        <v/>
      </c>
      <c r="H147" s="329" t="str">
        <f t="shared" si="26"/>
        <v/>
      </c>
      <c r="I147" s="185"/>
      <c r="J147" s="2"/>
    </row>
    <row r="148" spans="1:10" ht="14.25" thickTop="1" thickBot="1">
      <c r="A148" s="18" t="str">
        <f t="shared" si="28"/>
        <v>Silver</v>
      </c>
      <c r="B148" s="4" t="str">
        <f t="shared" si="24"/>
        <v/>
      </c>
      <c r="C148" s="167" t="str">
        <f t="shared" si="27"/>
        <v/>
      </c>
      <c r="D148" s="187" t="s">
        <v>119</v>
      </c>
      <c r="E148" s="10"/>
      <c r="F148" s="10"/>
      <c r="G148" s="4" t="str">
        <f t="shared" si="25"/>
        <v/>
      </c>
      <c r="H148" s="4" t="str">
        <f t="shared" si="26"/>
        <v/>
      </c>
      <c r="I148" s="185"/>
      <c r="J148" s="2"/>
    </row>
    <row r="149" spans="1:10" ht="14.25" thickTop="1" thickBot="1">
      <c r="A149" s="18" t="str">
        <f t="shared" si="28"/>
        <v>Zinc</v>
      </c>
      <c r="B149" s="4" t="str">
        <f t="shared" si="24"/>
        <v/>
      </c>
      <c r="C149" s="167" t="str">
        <f t="shared" si="27"/>
        <v/>
      </c>
      <c r="D149" s="186"/>
      <c r="E149" s="10"/>
      <c r="F149" s="174"/>
      <c r="G149" s="4" t="str">
        <f t="shared" si="25"/>
        <v/>
      </c>
      <c r="H149" s="329" t="str">
        <f t="shared" si="26"/>
        <v/>
      </c>
      <c r="I149" s="185"/>
      <c r="J149" s="2"/>
    </row>
    <row r="150" spans="1:10" ht="14.25" thickTop="1" thickBot="1">
      <c r="A150" s="18" t="str">
        <f t="shared" si="28"/>
        <v>Total Nitrogen</v>
      </c>
      <c r="B150" s="4" t="str">
        <f t="shared" si="24"/>
        <v/>
      </c>
      <c r="C150" s="167" t="str">
        <f t="shared" si="27"/>
        <v/>
      </c>
      <c r="D150" s="320"/>
      <c r="E150" s="10"/>
      <c r="F150" s="10"/>
      <c r="G150" s="4" t="str">
        <f t="shared" si="25"/>
        <v/>
      </c>
      <c r="H150" s="4" t="str">
        <f t="shared" si="26"/>
        <v/>
      </c>
      <c r="I150" s="185" t="str">
        <f>IF(B150="","",IF(B150&gt;I39,"Warning - MAHL exceeds Design Criteria!",""))</f>
        <v/>
      </c>
      <c r="J150" s="2"/>
    </row>
    <row r="151" spans="1:10" ht="14.25" thickTop="1" thickBot="1">
      <c r="A151" s="18" t="str">
        <f t="shared" si="28"/>
        <v>Total Phos.</v>
      </c>
      <c r="B151" s="4" t="str">
        <f t="shared" si="24"/>
        <v/>
      </c>
      <c r="C151" s="167" t="str">
        <f t="shared" si="27"/>
        <v/>
      </c>
      <c r="D151" s="319"/>
      <c r="E151" s="10"/>
      <c r="F151" s="10"/>
      <c r="G151" s="4" t="str">
        <f t="shared" si="25"/>
        <v/>
      </c>
      <c r="H151" s="4" t="str">
        <f t="shared" si="26"/>
        <v/>
      </c>
      <c r="I151" s="185" t="str">
        <f>IF(B151="","",IF(B151&gt;I40,"Warning - MAHL exceeds Design Criteria!",""))</f>
        <v/>
      </c>
      <c r="J151" s="2"/>
    </row>
    <row r="152" spans="1:10" ht="14.25" thickTop="1" thickBot="1">
      <c r="A152" s="18" t="str">
        <f t="shared" si="28"/>
        <v>c</v>
      </c>
      <c r="B152" s="4" t="str">
        <f t="shared" si="24"/>
        <v/>
      </c>
      <c r="C152" s="167" t="str">
        <f t="shared" si="27"/>
        <v/>
      </c>
      <c r="D152" s="319"/>
      <c r="E152" s="10"/>
      <c r="F152" s="10"/>
      <c r="G152" s="4" t="str">
        <f t="shared" si="25"/>
        <v/>
      </c>
      <c r="H152" s="4" t="str">
        <f t="shared" si="26"/>
        <v/>
      </c>
      <c r="I152" s="15"/>
      <c r="J152" s="2"/>
    </row>
    <row r="153" spans="1:10" ht="14.25" thickTop="1" thickBot="1">
      <c r="A153" s="18" t="str">
        <f t="shared" si="28"/>
        <v>d</v>
      </c>
      <c r="B153" s="4" t="str">
        <f t="shared" si="24"/>
        <v/>
      </c>
      <c r="C153" s="167" t="str">
        <f t="shared" si="27"/>
        <v/>
      </c>
      <c r="D153" s="319"/>
      <c r="E153" s="10"/>
      <c r="F153" s="10"/>
      <c r="G153" s="4" t="str">
        <f t="shared" si="25"/>
        <v/>
      </c>
      <c r="H153" s="4" t="str">
        <f t="shared" si="26"/>
        <v/>
      </c>
      <c r="I153" s="15"/>
      <c r="J153" s="2"/>
    </row>
    <row r="154" spans="1:10" ht="14.25" thickTop="1" thickBot="1">
      <c r="A154" s="18" t="str">
        <f t="shared" si="28"/>
        <v>e</v>
      </c>
      <c r="B154" s="4" t="str">
        <f t="shared" si="24"/>
        <v/>
      </c>
      <c r="C154" s="167" t="str">
        <f t="shared" si="27"/>
        <v/>
      </c>
      <c r="D154" s="319"/>
      <c r="E154" s="10"/>
      <c r="F154" s="10"/>
      <c r="G154" s="4" t="str">
        <f t="shared" si="25"/>
        <v/>
      </c>
      <c r="H154" s="4" t="str">
        <f t="shared" si="26"/>
        <v/>
      </c>
      <c r="I154" s="15"/>
      <c r="J154" s="2"/>
    </row>
    <row r="155" spans="1:10" ht="14.25" thickTop="1" thickBot="1">
      <c r="A155" s="18" t="str">
        <f t="shared" si="28"/>
        <v>f</v>
      </c>
      <c r="B155" s="4" t="str">
        <f t="shared" si="24"/>
        <v/>
      </c>
      <c r="C155" s="167" t="str">
        <f t="shared" si="27"/>
        <v/>
      </c>
      <c r="D155" s="319"/>
      <c r="E155" s="10"/>
      <c r="F155" s="10"/>
      <c r="G155" s="4" t="str">
        <f t="shared" si="25"/>
        <v/>
      </c>
      <c r="H155" s="4" t="str">
        <f t="shared" si="26"/>
        <v/>
      </c>
      <c r="I155" s="15"/>
      <c r="J155" s="2"/>
    </row>
    <row r="156" spans="1:10" ht="14.25" thickTop="1" thickBot="1">
      <c r="A156" s="18" t="str">
        <f t="shared" si="28"/>
        <v>g</v>
      </c>
      <c r="B156" s="4" t="str">
        <f t="shared" si="24"/>
        <v/>
      </c>
      <c r="C156" s="167" t="str">
        <f t="shared" si="27"/>
        <v/>
      </c>
      <c r="D156" s="319"/>
      <c r="E156" s="10"/>
      <c r="F156" s="10"/>
      <c r="G156" s="4" t="str">
        <f t="shared" si="25"/>
        <v/>
      </c>
      <c r="H156" s="4" t="str">
        <f t="shared" si="26"/>
        <v/>
      </c>
      <c r="I156" s="15"/>
      <c r="J156" s="2"/>
    </row>
    <row r="157" spans="1:10" ht="14.25" thickTop="1" thickBot="1">
      <c r="A157" s="18" t="str">
        <f t="shared" si="28"/>
        <v>h</v>
      </c>
      <c r="B157" s="4" t="str">
        <f t="shared" si="24"/>
        <v/>
      </c>
      <c r="C157" s="167" t="str">
        <f t="shared" si="27"/>
        <v/>
      </c>
      <c r="D157" s="319"/>
      <c r="E157" s="10"/>
      <c r="F157" s="10"/>
      <c r="G157" s="4" t="str">
        <f t="shared" si="25"/>
        <v/>
      </c>
      <c r="H157" s="4" t="str">
        <f t="shared" si="26"/>
        <v/>
      </c>
      <c r="I157" s="15"/>
      <c r="J157" s="2"/>
    </row>
    <row r="158" spans="1:10" ht="14.25" thickTop="1" thickBot="1">
      <c r="A158" s="18" t="str">
        <f t="shared" si="28"/>
        <v>I</v>
      </c>
      <c r="B158" s="4" t="str">
        <f t="shared" si="24"/>
        <v/>
      </c>
      <c r="C158" s="167" t="str">
        <f t="shared" si="27"/>
        <v/>
      </c>
      <c r="D158" s="319"/>
      <c r="E158" s="10"/>
      <c r="F158" s="10"/>
      <c r="G158" s="4" t="str">
        <f t="shared" si="25"/>
        <v/>
      </c>
      <c r="H158" s="4" t="str">
        <f t="shared" si="26"/>
        <v/>
      </c>
      <c r="I158" s="15"/>
      <c r="J158" s="2"/>
    </row>
    <row r="159" spans="1:10" ht="13.5" thickTop="1"/>
  </sheetData>
  <mergeCells count="3">
    <mergeCell ref="H14:I15"/>
    <mergeCell ref="J106:K106"/>
    <mergeCell ref="J14:J16"/>
  </mergeCells>
  <phoneticPr fontId="11" type="noConversion"/>
  <printOptions horizontalCentered="1" verticalCentered="1" headings="1"/>
  <pageMargins left="0" right="0" top="0.75" bottom="0.75" header="0.5" footer="0.5"/>
  <pageSetup scale="69" fitToHeight="5" orientation="landscape" horizontalDpi="4294967292" verticalDpi="4294967292" r:id="rId1"/>
  <headerFooter alignWithMargins="0">
    <oddHeader>&amp;C&amp;"Geneva,Bold"&amp;18Workbook Name: &amp;F;  Worksheet Name: &amp;A&amp;RPage &amp;P of &amp;N
 Printed &amp;D, &amp;T</oddHeader>
    <oddFooter>&amp;LModeled after: Chapter 5-HWA Guidance, Appendix 5-A
Revision Date:  February 2008</oddFooter>
  </headerFooter>
  <rowBreaks count="4" manualBreakCount="4">
    <brk id="47" max="10" man="1"/>
    <brk id="76" max="10" man="1"/>
    <brk id="104" max="10" man="1"/>
    <brk id="131" max="10" man="1"/>
  </rowBreaks>
  <drawing r:id="rId2"/>
  <legacyDrawing r:id="rId3"/>
</worksheet>
</file>

<file path=xl/worksheets/sheet2.xml><?xml version="1.0" encoding="utf-8"?>
<worksheet xmlns="http://schemas.openxmlformats.org/spreadsheetml/2006/main" xmlns:r="http://schemas.openxmlformats.org/officeDocument/2006/relationships">
  <dimension ref="A1:BM46"/>
  <sheetViews>
    <sheetView zoomScaleNormal="100" workbookViewId="0">
      <pane xSplit="3" ySplit="11" topLeftCell="D12" activePane="bottomRight" state="frozen"/>
      <selection pane="topRight" activeCell="D1" sqref="D1"/>
      <selection pane="bottomLeft" activeCell="A8" sqref="A8"/>
      <selection pane="bottomRight" activeCell="C26" sqref="C26"/>
    </sheetView>
  </sheetViews>
  <sheetFormatPr defaultColWidth="13" defaultRowHeight="12.75"/>
  <cols>
    <col min="1" max="1" width="6.7109375" style="115" customWidth="1"/>
    <col min="2" max="2" width="26.140625" style="121" customWidth="1"/>
    <col min="3" max="3" width="9.42578125" style="121" customWidth="1"/>
    <col min="4" max="5" width="7.85546875" style="121" customWidth="1"/>
    <col min="6" max="8" width="10.7109375" style="122" customWidth="1"/>
    <col min="9" max="9" width="9" style="123" customWidth="1"/>
    <col min="10" max="10" width="9" style="124" customWidth="1"/>
    <col min="11" max="11" width="7.85546875" style="125" customWidth="1"/>
    <col min="12" max="12" width="7.85546875" style="126" customWidth="1"/>
    <col min="13" max="13" width="7.85546875" style="125" customWidth="1"/>
    <col min="14" max="14" width="7.85546875" style="127" customWidth="1"/>
    <col min="15" max="18" width="7.85546875" style="123" customWidth="1"/>
    <col min="19" max="19" width="7.85546875" style="129" customWidth="1"/>
    <col min="20" max="20" width="7.85546875" style="115" customWidth="1"/>
    <col min="21" max="21" width="7.85546875" style="129" customWidth="1"/>
    <col min="22" max="22" width="7.85546875" style="123" customWidth="1"/>
    <col min="23" max="23" width="7.85546875" style="129" customWidth="1"/>
    <col min="24" max="24" width="7.85546875" style="123" customWidth="1"/>
    <col min="25" max="25" width="7.85546875" style="130" customWidth="1"/>
    <col min="26" max="26" width="7.85546875" style="123" customWidth="1"/>
    <col min="27" max="27" width="7.85546875" style="129" customWidth="1"/>
    <col min="28" max="28" width="7.85546875" style="123" customWidth="1"/>
    <col min="29" max="29" width="8.7109375" style="128" customWidth="1"/>
    <col min="30" max="30" width="8.7109375" style="123" customWidth="1"/>
    <col min="31" max="31" width="7.85546875" style="128" customWidth="1"/>
    <col min="32" max="32" width="7.85546875" style="123" customWidth="1"/>
    <col min="33" max="33" width="7.85546875" style="128" customWidth="1"/>
    <col min="34" max="58" width="7.85546875" style="123" customWidth="1"/>
    <col min="59" max="16384" width="13" style="116"/>
  </cols>
  <sheetData>
    <row r="1" spans="1:65" ht="13.5" thickBot="1">
      <c r="B1" t="s">
        <v>34</v>
      </c>
    </row>
    <row r="2" spans="1:65" ht="14.25" thickTop="1" thickBot="1">
      <c r="B2" s="156" t="s">
        <v>35</v>
      </c>
      <c r="C2" s="341"/>
    </row>
    <row r="3" spans="1:65" ht="14.25" thickTop="1" thickBot="1">
      <c r="B3" s="156" t="s">
        <v>36</v>
      </c>
      <c r="C3" s="341"/>
    </row>
    <row r="4" spans="1:65" ht="14.25" thickTop="1" thickBot="1">
      <c r="B4" s="156" t="s">
        <v>37</v>
      </c>
      <c r="C4" s="341"/>
    </row>
    <row r="5" spans="1:65" customFormat="1" ht="13.5" thickTop="1">
      <c r="A5" s="25"/>
      <c r="B5" s="121"/>
      <c r="C5" s="121"/>
      <c r="E5" s="11"/>
      <c r="F5" s="26"/>
      <c r="G5" s="26"/>
      <c r="H5" s="26"/>
      <c r="I5" s="123"/>
      <c r="J5" s="124"/>
      <c r="L5" s="27"/>
      <c r="N5" s="28"/>
      <c r="O5" s="123"/>
      <c r="P5" s="123"/>
      <c r="R5" s="29"/>
      <c r="S5" s="30"/>
      <c r="U5" s="30"/>
      <c r="V5" s="29"/>
      <c r="W5" s="30"/>
      <c r="X5" s="31"/>
      <c r="Y5" s="30"/>
      <c r="Z5" s="31"/>
      <c r="AA5" s="30"/>
      <c r="AB5" s="29"/>
      <c r="AC5" s="32"/>
      <c r="AD5" s="29"/>
      <c r="AE5" s="32"/>
      <c r="AF5" s="29"/>
      <c r="AG5" s="32"/>
      <c r="AH5" s="31"/>
      <c r="AJ5" s="31"/>
      <c r="AL5" s="31"/>
      <c r="AN5" s="31"/>
      <c r="AP5" s="31"/>
      <c r="AR5" s="31"/>
      <c r="AT5" s="31"/>
      <c r="AV5" s="31"/>
      <c r="AX5" s="31"/>
      <c r="AZ5" s="31"/>
      <c r="BB5" s="31"/>
      <c r="BD5" s="31"/>
      <c r="BF5" s="31"/>
    </row>
    <row r="6" spans="1:65" customFormat="1" ht="14.1" customHeight="1">
      <c r="A6" s="132" t="s">
        <v>71</v>
      </c>
      <c r="B6" s="233">
        <f>+HWA!C2</f>
        <v>0</v>
      </c>
      <c r="E6" s="13"/>
      <c r="F6" s="26"/>
      <c r="G6" s="26"/>
      <c r="H6" s="26"/>
      <c r="I6" s="123"/>
      <c r="J6" s="124"/>
      <c r="L6" s="27"/>
      <c r="N6" s="33"/>
      <c r="O6" s="123"/>
      <c r="P6" s="123"/>
      <c r="R6" s="29"/>
      <c r="S6" s="30"/>
      <c r="U6" s="30"/>
      <c r="V6" s="29"/>
      <c r="W6" s="30"/>
      <c r="X6" s="31"/>
      <c r="Y6" s="30"/>
      <c r="Z6" s="31"/>
      <c r="AA6" s="30"/>
      <c r="AB6" s="29"/>
      <c r="AC6" s="32"/>
      <c r="AD6" s="29"/>
      <c r="AE6" s="32"/>
      <c r="AF6" s="29"/>
      <c r="AG6" s="32"/>
      <c r="AH6" s="31"/>
      <c r="AJ6" s="31"/>
      <c r="AK6" s="34"/>
      <c r="AL6" s="31"/>
      <c r="AM6" s="34"/>
      <c r="AN6" s="31"/>
      <c r="AO6" s="34"/>
      <c r="AP6" s="31"/>
      <c r="AQ6" s="34"/>
      <c r="AR6" s="31"/>
      <c r="AS6" s="34"/>
      <c r="AT6" s="31"/>
      <c r="AU6" s="34"/>
      <c r="AV6" s="31"/>
      <c r="AW6" s="34"/>
      <c r="AX6" s="31"/>
      <c r="AZ6" s="31"/>
      <c r="BB6" s="31"/>
      <c r="BD6" s="31"/>
      <c r="BF6" s="31"/>
    </row>
    <row r="7" spans="1:65" customFormat="1" ht="14.1" customHeight="1">
      <c r="A7" s="132" t="s">
        <v>70</v>
      </c>
      <c r="B7" s="322">
        <f>+HWA!C4</f>
        <v>0</v>
      </c>
      <c r="E7" s="13"/>
      <c r="F7" s="26"/>
      <c r="G7" s="26"/>
      <c r="H7" s="26"/>
      <c r="I7" s="123"/>
      <c r="J7" s="124"/>
      <c r="L7" s="27"/>
      <c r="N7" s="33"/>
      <c r="O7" s="123"/>
      <c r="P7" s="123"/>
      <c r="R7" s="29"/>
      <c r="S7" s="30"/>
      <c r="U7" s="30"/>
      <c r="V7" s="29"/>
      <c r="W7" s="30"/>
      <c r="X7" s="31"/>
      <c r="Y7" s="30"/>
      <c r="Z7" s="31"/>
      <c r="AA7" s="30"/>
      <c r="AB7" s="29"/>
      <c r="AC7" s="32"/>
      <c r="AD7" s="29"/>
      <c r="AE7" s="32"/>
      <c r="AF7" s="29"/>
      <c r="AG7" s="32"/>
      <c r="AH7" s="31"/>
      <c r="AJ7" s="31"/>
      <c r="AK7" s="34"/>
      <c r="AL7" s="31"/>
      <c r="AM7" s="34"/>
      <c r="AN7" s="31"/>
      <c r="AO7" s="34"/>
      <c r="AP7" s="31"/>
      <c r="AQ7" s="34"/>
      <c r="AR7" s="31"/>
      <c r="AS7" s="34"/>
      <c r="AT7" s="31"/>
      <c r="AU7" s="34"/>
      <c r="AV7" s="31"/>
      <c r="AW7" s="34"/>
      <c r="AX7" s="31"/>
      <c r="AZ7" s="31"/>
      <c r="BB7" s="31"/>
      <c r="BD7" s="31"/>
      <c r="BF7" s="31"/>
    </row>
    <row r="8" spans="1:65" s="37" customFormat="1" ht="14.1" customHeight="1">
      <c r="A8" s="35"/>
      <c r="B8" s="135"/>
      <c r="C8" s="36"/>
      <c r="E8" s="13"/>
      <c r="F8" s="38"/>
      <c r="G8" s="38"/>
      <c r="H8" s="39"/>
      <c r="I8" s="40" t="s">
        <v>38</v>
      </c>
      <c r="J8" s="41"/>
      <c r="K8" s="42" t="str">
        <f>HWA!A24</f>
        <v>BOD</v>
      </c>
      <c r="L8" s="43"/>
      <c r="M8" s="42" t="str">
        <f>HWA!A25</f>
        <v>TSS</v>
      </c>
      <c r="N8" s="44"/>
      <c r="O8" s="40" t="str">
        <f>HWA!A26</f>
        <v>Ammonia</v>
      </c>
      <c r="P8" s="45"/>
      <c r="Q8" s="40" t="str">
        <f>HWA!A27</f>
        <v>Arsenic</v>
      </c>
      <c r="R8" s="45"/>
      <c r="S8" s="46" t="str">
        <f>HWA!A28</f>
        <v>Cadmium</v>
      </c>
      <c r="T8" s="47"/>
      <c r="U8" s="46" t="str">
        <f>HWA!A29</f>
        <v>Chromium</v>
      </c>
      <c r="V8" s="41"/>
      <c r="W8" s="46" t="str">
        <f>HWA!A30</f>
        <v>Copper</v>
      </c>
      <c r="X8" s="41"/>
      <c r="Y8" s="46" t="str">
        <f>HWA!A31</f>
        <v>Cyanide</v>
      </c>
      <c r="Z8" s="41"/>
      <c r="AA8" s="46" t="str">
        <f>HWA!A32</f>
        <v>Lead</v>
      </c>
      <c r="AB8" s="41"/>
      <c r="AC8" s="48" t="str">
        <f>HWA!A33</f>
        <v>Mercury</v>
      </c>
      <c r="AD8" s="45"/>
      <c r="AE8" s="48" t="str">
        <f>HWA!A34</f>
        <v>Molybdenum</v>
      </c>
      <c r="AF8" s="49"/>
      <c r="AG8" s="48" t="str">
        <f>HWA!A35</f>
        <v>Nickel</v>
      </c>
      <c r="AH8" s="45"/>
      <c r="AI8" s="48" t="str">
        <f>HWA!A36</f>
        <v>Selenium</v>
      </c>
      <c r="AJ8" s="45"/>
      <c r="AK8" s="40" t="str">
        <f>HWA!A37</f>
        <v>Silver</v>
      </c>
      <c r="AL8" s="49"/>
      <c r="AM8" s="40" t="str">
        <f>HWA!A38</f>
        <v>Zinc</v>
      </c>
      <c r="AN8" s="49"/>
      <c r="AO8" s="40" t="str">
        <f>HWA!A39</f>
        <v>Total Nitrogen</v>
      </c>
      <c r="AP8" s="49"/>
      <c r="AQ8" s="40" t="str">
        <f>HWA!A40</f>
        <v>Total Phos.</v>
      </c>
      <c r="AR8" s="49"/>
      <c r="AS8" s="382" t="str">
        <f>HWA!A41</f>
        <v>c</v>
      </c>
      <c r="AT8" s="383"/>
      <c r="AU8" s="382" t="str">
        <f>HWA!A42</f>
        <v>d</v>
      </c>
      <c r="AV8" s="383"/>
      <c r="AW8" s="382" t="str">
        <f>HWA!A43</f>
        <v>e</v>
      </c>
      <c r="AX8" s="383"/>
      <c r="AY8" s="382" t="str">
        <f>HWA!A44</f>
        <v>f</v>
      </c>
      <c r="AZ8" s="383"/>
      <c r="BA8" s="382" t="str">
        <f>HWA!A45</f>
        <v>g</v>
      </c>
      <c r="BB8" s="383"/>
      <c r="BC8" s="382" t="str">
        <f>HWA!A46</f>
        <v>h</v>
      </c>
      <c r="BD8" s="383"/>
      <c r="BE8" s="382" t="str">
        <f>HWA!A47</f>
        <v>I</v>
      </c>
      <c r="BF8" s="383"/>
    </row>
    <row r="9" spans="1:65" s="50" customFormat="1" ht="14.1" customHeight="1">
      <c r="B9" s="51"/>
      <c r="C9" s="52" t="s">
        <v>39</v>
      </c>
      <c r="E9" s="50" t="s">
        <v>40</v>
      </c>
      <c r="F9" s="53" t="s">
        <v>123</v>
      </c>
      <c r="G9" s="53" t="s">
        <v>41</v>
      </c>
      <c r="H9" s="53" t="s">
        <v>42</v>
      </c>
      <c r="I9" s="54" t="s">
        <v>43</v>
      </c>
      <c r="J9" s="55"/>
      <c r="K9" s="56" t="s">
        <v>43</v>
      </c>
      <c r="L9" s="57"/>
      <c r="M9" s="56" t="s">
        <v>43</v>
      </c>
      <c r="N9" s="58"/>
      <c r="O9" s="56" t="s">
        <v>43</v>
      </c>
      <c r="P9" s="59"/>
      <c r="Q9" s="56" t="s">
        <v>43</v>
      </c>
      <c r="R9" s="59"/>
      <c r="S9" s="60" t="s">
        <v>43</v>
      </c>
      <c r="T9" s="59"/>
      <c r="U9" s="60" t="s">
        <v>43</v>
      </c>
      <c r="V9" s="61"/>
      <c r="W9" s="60" t="s">
        <v>43</v>
      </c>
      <c r="X9" s="59"/>
      <c r="Y9" s="60" t="s">
        <v>43</v>
      </c>
      <c r="Z9" s="61"/>
      <c r="AA9" s="60" t="s">
        <v>43</v>
      </c>
      <c r="AB9" s="59"/>
      <c r="AC9" s="62" t="s">
        <v>43</v>
      </c>
      <c r="AD9" s="59"/>
      <c r="AE9" s="62" t="s">
        <v>43</v>
      </c>
      <c r="AF9" s="61"/>
      <c r="AG9" s="62" t="s">
        <v>43</v>
      </c>
      <c r="AH9" s="59"/>
      <c r="AI9" s="62" t="s">
        <v>43</v>
      </c>
      <c r="AJ9" s="59"/>
      <c r="AK9" s="56" t="s">
        <v>43</v>
      </c>
      <c r="AL9" s="61"/>
      <c r="AM9" s="56" t="s">
        <v>43</v>
      </c>
      <c r="AN9" s="61"/>
      <c r="AO9" s="56" t="s">
        <v>43</v>
      </c>
      <c r="AP9" s="61"/>
      <c r="AQ9" s="56" t="s">
        <v>43</v>
      </c>
      <c r="AR9" s="61"/>
      <c r="AS9" s="56" t="s">
        <v>43</v>
      </c>
      <c r="AT9" s="61"/>
      <c r="AU9" s="56" t="s">
        <v>43</v>
      </c>
      <c r="AV9" s="61"/>
      <c r="AW9" s="56" t="s">
        <v>43</v>
      </c>
      <c r="AX9" s="61"/>
      <c r="AY9" s="56" t="s">
        <v>43</v>
      </c>
      <c r="AZ9" s="61"/>
      <c r="BA9" s="56" t="s">
        <v>43</v>
      </c>
      <c r="BB9" s="61"/>
      <c r="BC9" s="56" t="s">
        <v>43</v>
      </c>
      <c r="BD9" s="61"/>
      <c r="BE9" s="56" t="s">
        <v>43</v>
      </c>
      <c r="BF9" s="61"/>
      <c r="BG9" s="8"/>
      <c r="BH9" s="8"/>
      <c r="BI9" s="8"/>
      <c r="BJ9" s="8"/>
      <c r="BK9" s="8"/>
      <c r="BL9" s="8"/>
      <c r="BM9" s="8"/>
    </row>
    <row r="10" spans="1:65" s="50" customFormat="1" ht="14.1" customHeight="1">
      <c r="A10" s="50" t="s">
        <v>44</v>
      </c>
      <c r="B10" s="51" t="s">
        <v>72</v>
      </c>
      <c r="C10" s="52" t="s">
        <v>47</v>
      </c>
      <c r="D10" s="50" t="s">
        <v>122</v>
      </c>
      <c r="E10" s="50" t="s">
        <v>45</v>
      </c>
      <c r="F10" s="53" t="s">
        <v>46</v>
      </c>
      <c r="G10" s="53" t="s">
        <v>46</v>
      </c>
      <c r="H10" s="53" t="s">
        <v>47</v>
      </c>
      <c r="I10" s="63"/>
      <c r="J10" s="64"/>
      <c r="K10" s="65" t="s">
        <v>29</v>
      </c>
      <c r="L10" s="66" t="s">
        <v>33</v>
      </c>
      <c r="M10" s="65" t="s">
        <v>29</v>
      </c>
      <c r="N10" s="67" t="s">
        <v>33</v>
      </c>
      <c r="O10" s="65" t="s">
        <v>29</v>
      </c>
      <c r="P10" s="68" t="s">
        <v>33</v>
      </c>
      <c r="Q10" s="65" t="s">
        <v>29</v>
      </c>
      <c r="R10" s="68" t="s">
        <v>33</v>
      </c>
      <c r="S10" s="69" t="s">
        <v>29</v>
      </c>
      <c r="T10" s="68" t="s">
        <v>33</v>
      </c>
      <c r="U10" s="69" t="s">
        <v>29</v>
      </c>
      <c r="V10" s="70" t="s">
        <v>33</v>
      </c>
      <c r="W10" s="69" t="s">
        <v>29</v>
      </c>
      <c r="X10" s="68" t="s">
        <v>33</v>
      </c>
      <c r="Y10" s="69" t="s">
        <v>29</v>
      </c>
      <c r="Z10" s="70" t="s">
        <v>33</v>
      </c>
      <c r="AA10" s="69" t="s">
        <v>29</v>
      </c>
      <c r="AB10" s="68" t="s">
        <v>33</v>
      </c>
      <c r="AC10" s="71" t="s">
        <v>29</v>
      </c>
      <c r="AD10" s="68" t="s">
        <v>33</v>
      </c>
      <c r="AE10" s="71" t="s">
        <v>29</v>
      </c>
      <c r="AF10" s="70" t="s">
        <v>33</v>
      </c>
      <c r="AG10" s="71" t="s">
        <v>29</v>
      </c>
      <c r="AH10" s="68" t="s">
        <v>33</v>
      </c>
      <c r="AI10" s="65" t="s">
        <v>29</v>
      </c>
      <c r="AJ10" s="70" t="s">
        <v>33</v>
      </c>
      <c r="AK10" s="65" t="s">
        <v>29</v>
      </c>
      <c r="AL10" s="70" t="s">
        <v>33</v>
      </c>
      <c r="AM10" s="65" t="s">
        <v>29</v>
      </c>
      <c r="AN10" s="70" t="s">
        <v>33</v>
      </c>
      <c r="AO10" s="65" t="s">
        <v>29</v>
      </c>
      <c r="AP10" s="70" t="s">
        <v>33</v>
      </c>
      <c r="AQ10" s="65" t="s">
        <v>29</v>
      </c>
      <c r="AR10" s="70" t="s">
        <v>33</v>
      </c>
      <c r="AS10" s="65" t="s">
        <v>29</v>
      </c>
      <c r="AT10" s="70" t="s">
        <v>33</v>
      </c>
      <c r="AU10" s="65" t="s">
        <v>29</v>
      </c>
      <c r="AV10" s="70" t="s">
        <v>33</v>
      </c>
      <c r="AW10" s="65" t="s">
        <v>29</v>
      </c>
      <c r="AX10" s="70" t="s">
        <v>33</v>
      </c>
      <c r="AY10" s="65" t="s">
        <v>29</v>
      </c>
      <c r="AZ10" s="70" t="s">
        <v>33</v>
      </c>
      <c r="BA10" s="65" t="s">
        <v>29</v>
      </c>
      <c r="BB10" s="70" t="s">
        <v>33</v>
      </c>
      <c r="BC10" s="65" t="s">
        <v>29</v>
      </c>
      <c r="BD10" s="70" t="s">
        <v>33</v>
      </c>
      <c r="BE10" s="65" t="s">
        <v>29</v>
      </c>
      <c r="BF10" s="70" t="s">
        <v>33</v>
      </c>
      <c r="BG10" s="8"/>
      <c r="BH10" s="8"/>
      <c r="BI10" s="8"/>
      <c r="BJ10" s="8"/>
      <c r="BK10" s="8"/>
      <c r="BL10" s="8"/>
      <c r="BM10" s="8"/>
    </row>
    <row r="11" spans="1:65" s="50" customFormat="1" ht="14.1" customHeight="1" thickBot="1">
      <c r="A11" s="50" t="s">
        <v>48</v>
      </c>
      <c r="B11" s="134" t="s">
        <v>49</v>
      </c>
      <c r="C11" s="52" t="s">
        <v>50</v>
      </c>
      <c r="D11" s="50" t="s">
        <v>50</v>
      </c>
      <c r="E11" s="50" t="s">
        <v>39</v>
      </c>
      <c r="F11" s="53" t="s">
        <v>42</v>
      </c>
      <c r="G11" s="53" t="s">
        <v>42</v>
      </c>
      <c r="H11" s="53" t="s">
        <v>51</v>
      </c>
      <c r="I11" s="63" t="s">
        <v>52</v>
      </c>
      <c r="J11" s="72" t="s">
        <v>53</v>
      </c>
      <c r="K11" s="65" t="s">
        <v>54</v>
      </c>
      <c r="L11" s="73" t="s">
        <v>55</v>
      </c>
      <c r="M11" s="65" t="s">
        <v>54</v>
      </c>
      <c r="N11" s="74" t="s">
        <v>55</v>
      </c>
      <c r="O11" s="65" t="s">
        <v>54</v>
      </c>
      <c r="P11" s="75" t="s">
        <v>55</v>
      </c>
      <c r="Q11" s="65" t="s">
        <v>54</v>
      </c>
      <c r="R11" s="75" t="s">
        <v>55</v>
      </c>
      <c r="S11" s="69" t="s">
        <v>54</v>
      </c>
      <c r="T11" s="75" t="s">
        <v>55</v>
      </c>
      <c r="U11" s="69" t="s">
        <v>54</v>
      </c>
      <c r="V11" s="76" t="s">
        <v>55</v>
      </c>
      <c r="W11" s="69" t="s">
        <v>54</v>
      </c>
      <c r="X11" s="75" t="s">
        <v>55</v>
      </c>
      <c r="Y11" s="69" t="s">
        <v>54</v>
      </c>
      <c r="Z11" s="76" t="s">
        <v>55</v>
      </c>
      <c r="AA11" s="69" t="s">
        <v>54</v>
      </c>
      <c r="AB11" s="75" t="s">
        <v>55</v>
      </c>
      <c r="AC11" s="71" t="s">
        <v>54</v>
      </c>
      <c r="AD11" s="75" t="s">
        <v>55</v>
      </c>
      <c r="AE11" s="71" t="s">
        <v>54</v>
      </c>
      <c r="AF11" s="76" t="s">
        <v>55</v>
      </c>
      <c r="AG11" s="71" t="s">
        <v>54</v>
      </c>
      <c r="AH11" s="75" t="s">
        <v>55</v>
      </c>
      <c r="AI11" s="65" t="s">
        <v>54</v>
      </c>
      <c r="AJ11" s="76" t="s">
        <v>55</v>
      </c>
      <c r="AK11" s="65" t="s">
        <v>54</v>
      </c>
      <c r="AL11" s="76" t="s">
        <v>55</v>
      </c>
      <c r="AM11" s="65" t="s">
        <v>54</v>
      </c>
      <c r="AN11" s="76" t="s">
        <v>55</v>
      </c>
      <c r="AO11" s="65" t="s">
        <v>54</v>
      </c>
      <c r="AP11" s="76" t="s">
        <v>55</v>
      </c>
      <c r="AQ11" s="65" t="s">
        <v>54</v>
      </c>
      <c r="AR11" s="76" t="s">
        <v>55</v>
      </c>
      <c r="AS11" s="65" t="s">
        <v>54</v>
      </c>
      <c r="AT11" s="76" t="s">
        <v>55</v>
      </c>
      <c r="AU11" s="65" t="s">
        <v>54</v>
      </c>
      <c r="AV11" s="76" t="s">
        <v>55</v>
      </c>
      <c r="AW11" s="65" t="s">
        <v>54</v>
      </c>
      <c r="AX11" s="76" t="s">
        <v>55</v>
      </c>
      <c r="AY11" s="65" t="s">
        <v>54</v>
      </c>
      <c r="AZ11" s="76" t="s">
        <v>55</v>
      </c>
      <c r="BA11" s="65" t="s">
        <v>54</v>
      </c>
      <c r="BB11" s="76" t="s">
        <v>55</v>
      </c>
      <c r="BC11" s="65" t="s">
        <v>54</v>
      </c>
      <c r="BD11" s="76" t="s">
        <v>55</v>
      </c>
      <c r="BE11" s="65" t="s">
        <v>54</v>
      </c>
      <c r="BF11" s="76" t="s">
        <v>55</v>
      </c>
      <c r="BG11" s="8"/>
      <c r="BH11" s="8"/>
      <c r="BI11" s="8"/>
      <c r="BJ11" s="8"/>
      <c r="BK11" s="8"/>
      <c r="BL11" s="8"/>
      <c r="BM11" s="8"/>
    </row>
    <row r="12" spans="1:65" s="78" customFormat="1" ht="14.1" customHeight="1" thickTop="1" thickBot="1">
      <c r="A12" s="50">
        <v>1</v>
      </c>
      <c r="B12" s="331"/>
      <c r="C12" s="146"/>
      <c r="D12" s="146"/>
      <c r="E12" s="147"/>
      <c r="F12" s="342"/>
      <c r="G12" s="342"/>
      <c r="H12" s="342"/>
      <c r="I12" s="148"/>
      <c r="J12" s="133" t="str">
        <f t="shared" ref="J12:J21" si="0">IF(I12=0,"",I12*1000000)</f>
        <v/>
      </c>
      <c r="K12" s="154"/>
      <c r="L12" s="136" t="str">
        <f t="shared" ref="L12:L21" si="1">IF(8.34*$I12*K12=0,"",8.34*$I12*K12)</f>
        <v/>
      </c>
      <c r="M12" s="154"/>
      <c r="N12" s="136" t="str">
        <f t="shared" ref="N12:N21" si="2">IF(8.34*$I12*M12=0,"",8.34*$I12*M12)</f>
        <v/>
      </c>
      <c r="O12" s="154"/>
      <c r="P12" s="136" t="str">
        <f t="shared" ref="P12:P21" si="3">IF(8.34*$I12*O12=0,"",8.34*$I12*O12)</f>
        <v/>
      </c>
      <c r="Q12" s="152"/>
      <c r="R12" s="137" t="str">
        <f>IF(8.34*$I12*Q12=0,"",8.34*$I12*Q12)</f>
        <v/>
      </c>
      <c r="S12" s="152"/>
      <c r="T12" s="138" t="str">
        <f t="shared" ref="T12:T21" si="4">IF(8.34*$I12*S12=0,"",8.34*$I12*S12)</f>
        <v/>
      </c>
      <c r="U12" s="152"/>
      <c r="V12" s="77" t="str">
        <f t="shared" ref="V12:V21" si="5">IF(8.34*$I12*U12=0,"",8.34*$I12*U12)</f>
        <v/>
      </c>
      <c r="W12" s="152"/>
      <c r="X12" s="138" t="str">
        <f t="shared" ref="X12:X21" si="6">IF(8.34*$I12*W12=0,"",8.34*$I12*W12)</f>
        <v/>
      </c>
      <c r="Y12" s="152"/>
      <c r="Z12" s="138" t="str">
        <f t="shared" ref="Z12:Z21" si="7">IF(8.34*$I12*Y12=0,"",8.34*$I12*Y12)</f>
        <v/>
      </c>
      <c r="AA12" s="152"/>
      <c r="AB12" s="138" t="str">
        <f t="shared" ref="AB12:AB21" si="8">IF(8.34*$I12*AA12=0,"",8.34*$I12*AA12)</f>
        <v/>
      </c>
      <c r="AC12" s="155"/>
      <c r="AD12" s="139" t="str">
        <f t="shared" ref="AD12:AD21" si="9">IF(8.34*$I12*AC12=0,"",8.34*$I12*AC12)</f>
        <v/>
      </c>
      <c r="AE12" s="152"/>
      <c r="AF12" s="77" t="str">
        <f t="shared" ref="AF12:AF21" si="10">IF(8.34*$I12*AE12=0,"",8.34*$I12*AE12)</f>
        <v/>
      </c>
      <c r="AG12" s="152"/>
      <c r="AH12" s="138" t="str">
        <f t="shared" ref="AH12:AH21" si="11">IF(8.34*$I12*AG12=0,"",8.34*$I12*AG12)</f>
        <v/>
      </c>
      <c r="AI12" s="152"/>
      <c r="AJ12" s="138" t="str">
        <f t="shared" ref="AJ12:AJ21" si="12">IF(8.34*$I12*AI12=0,"",8.34*$I12*AI12)</f>
        <v/>
      </c>
      <c r="AK12" s="152"/>
      <c r="AL12" s="138" t="str">
        <f t="shared" ref="AL12:AL21" si="13">IF(8.34*$I12*AK12=0,"",8.34*$I12*AK12)</f>
        <v/>
      </c>
      <c r="AM12" s="152"/>
      <c r="AN12" s="138" t="str">
        <f t="shared" ref="AN12:AN21" si="14">IF(8.34*$I12*AM12=0,"",8.34*$I12*AM12)</f>
        <v/>
      </c>
      <c r="AO12" s="154"/>
      <c r="AP12" s="360" t="str">
        <f t="shared" ref="AP12:AP21" si="15">IF(8.34*$I12*AO12=0,"",8.34*$I12*AO12)</f>
        <v/>
      </c>
      <c r="AQ12" s="154"/>
      <c r="AR12" s="360" t="str">
        <f t="shared" ref="AR12:AR21" si="16">IF(8.34*$I12*AQ12=0,"",8.34*$I12*AQ12)</f>
        <v/>
      </c>
      <c r="AS12" s="152"/>
      <c r="AT12" s="138" t="str">
        <f t="shared" ref="AT12:AT21" si="17">IF(8.34*$I12*AS12=0,"",8.34*$I12*AS12)</f>
        <v/>
      </c>
      <c r="AU12" s="152"/>
      <c r="AV12" s="138" t="str">
        <f t="shared" ref="AV12:AV21" si="18">IF(8.34*$I12*AU12=0,"",8.34*$I12*AU12)</f>
        <v/>
      </c>
      <c r="AW12" s="152"/>
      <c r="AX12" s="138" t="str">
        <f t="shared" ref="AX12:AX21" si="19">IF(8.34*$I12*AW12=0,"",8.34*$I12*AW12)</f>
        <v/>
      </c>
      <c r="AY12" s="152"/>
      <c r="AZ12" s="138" t="str">
        <f t="shared" ref="AZ12:AZ21" si="20">IF(8.34*$I12*AY12=0,"",8.34*$I12*AY12)</f>
        <v/>
      </c>
      <c r="BA12" s="152"/>
      <c r="BB12" s="138" t="str">
        <f t="shared" ref="BB12:BB21" si="21">IF(8.34*$I12*BA12=0,"",8.34*$I12*BA12)</f>
        <v/>
      </c>
      <c r="BC12" s="152"/>
      <c r="BD12" s="138" t="str">
        <f t="shared" ref="BD12:BF21" si="22">IF(8.34*$I12*BC12=0,"",8.34*$I12*BC12)</f>
        <v/>
      </c>
      <c r="BE12" s="152"/>
      <c r="BF12" s="77" t="str">
        <f t="shared" si="22"/>
        <v/>
      </c>
      <c r="BG12" s="8"/>
      <c r="BH12" s="8"/>
      <c r="BI12" s="8"/>
      <c r="BJ12" s="8"/>
      <c r="BK12" s="8"/>
      <c r="BL12" s="8"/>
      <c r="BM12" s="8"/>
    </row>
    <row r="13" spans="1:65" s="78" customFormat="1" ht="14.1" customHeight="1" thickTop="1" thickBot="1">
      <c r="A13" s="50">
        <v>2</v>
      </c>
      <c r="B13" s="331"/>
      <c r="C13" s="150"/>
      <c r="D13" s="150"/>
      <c r="E13" s="151"/>
      <c r="F13" s="343"/>
      <c r="G13" s="343"/>
      <c r="H13" s="343"/>
      <c r="I13" s="152"/>
      <c r="J13" s="133" t="str">
        <f t="shared" si="0"/>
        <v/>
      </c>
      <c r="K13" s="154"/>
      <c r="L13" s="136" t="str">
        <f t="shared" si="1"/>
        <v/>
      </c>
      <c r="M13" s="154"/>
      <c r="N13" s="136" t="str">
        <f t="shared" si="2"/>
        <v/>
      </c>
      <c r="O13" s="154"/>
      <c r="P13" s="136" t="str">
        <f t="shared" si="3"/>
        <v/>
      </c>
      <c r="Q13" s="152"/>
      <c r="R13" s="137" t="str">
        <f>IF(8.34*$I13*Q13=0,"",8.34*$I13*Q13)</f>
        <v/>
      </c>
      <c r="S13" s="152"/>
      <c r="T13" s="138" t="str">
        <f t="shared" si="4"/>
        <v/>
      </c>
      <c r="U13" s="152"/>
      <c r="V13" s="77" t="str">
        <f t="shared" si="5"/>
        <v/>
      </c>
      <c r="W13" s="152"/>
      <c r="X13" s="138" t="str">
        <f t="shared" si="6"/>
        <v/>
      </c>
      <c r="Y13" s="152"/>
      <c r="Z13" s="138" t="str">
        <f t="shared" si="7"/>
        <v/>
      </c>
      <c r="AA13" s="152"/>
      <c r="AB13" s="138" t="str">
        <f t="shared" si="8"/>
        <v/>
      </c>
      <c r="AC13" s="155"/>
      <c r="AD13" s="139" t="str">
        <f t="shared" si="9"/>
        <v/>
      </c>
      <c r="AE13" s="152"/>
      <c r="AF13" s="77" t="str">
        <f t="shared" si="10"/>
        <v/>
      </c>
      <c r="AG13" s="152"/>
      <c r="AH13" s="138" t="str">
        <f t="shared" si="11"/>
        <v/>
      </c>
      <c r="AI13" s="152"/>
      <c r="AJ13" s="138" t="str">
        <f t="shared" si="12"/>
        <v/>
      </c>
      <c r="AK13" s="152"/>
      <c r="AL13" s="138" t="str">
        <f t="shared" si="13"/>
        <v/>
      </c>
      <c r="AM13" s="152"/>
      <c r="AN13" s="138" t="str">
        <f t="shared" si="14"/>
        <v/>
      </c>
      <c r="AO13" s="154"/>
      <c r="AP13" s="360" t="str">
        <f t="shared" si="15"/>
        <v/>
      </c>
      <c r="AQ13" s="154"/>
      <c r="AR13" s="360" t="str">
        <f t="shared" si="16"/>
        <v/>
      </c>
      <c r="AS13" s="152"/>
      <c r="AT13" s="138" t="str">
        <f t="shared" si="17"/>
        <v/>
      </c>
      <c r="AU13" s="152"/>
      <c r="AV13" s="138" t="str">
        <f t="shared" si="18"/>
        <v/>
      </c>
      <c r="AW13" s="152"/>
      <c r="AX13" s="138" t="str">
        <f t="shared" si="19"/>
        <v/>
      </c>
      <c r="AY13" s="152"/>
      <c r="AZ13" s="138" t="str">
        <f t="shared" si="20"/>
        <v/>
      </c>
      <c r="BA13" s="152"/>
      <c r="BB13" s="138" t="str">
        <f t="shared" si="21"/>
        <v/>
      </c>
      <c r="BC13" s="152"/>
      <c r="BD13" s="138" t="str">
        <f t="shared" si="22"/>
        <v/>
      </c>
      <c r="BE13" s="152"/>
      <c r="BF13" s="77" t="str">
        <f t="shared" si="22"/>
        <v/>
      </c>
      <c r="BG13" s="8"/>
      <c r="BH13" s="8"/>
      <c r="BI13" s="8"/>
      <c r="BJ13" s="8"/>
      <c r="BK13" s="8"/>
      <c r="BL13" s="8"/>
      <c r="BM13" s="8"/>
    </row>
    <row r="14" spans="1:65" s="78" customFormat="1" ht="14.1" customHeight="1" thickTop="1" thickBot="1">
      <c r="A14" s="50">
        <v>3</v>
      </c>
      <c r="B14" s="149"/>
      <c r="C14" s="150"/>
      <c r="D14" s="150"/>
      <c r="E14" s="151"/>
      <c r="F14" s="343"/>
      <c r="G14" s="343"/>
      <c r="H14" s="343"/>
      <c r="I14" s="152"/>
      <c r="J14" s="133" t="str">
        <f t="shared" si="0"/>
        <v/>
      </c>
      <c r="K14" s="154"/>
      <c r="L14" s="136" t="str">
        <f t="shared" si="1"/>
        <v/>
      </c>
      <c r="M14" s="154"/>
      <c r="N14" s="136" t="str">
        <f t="shared" si="2"/>
        <v/>
      </c>
      <c r="O14" s="154"/>
      <c r="P14" s="136" t="str">
        <f t="shared" si="3"/>
        <v/>
      </c>
      <c r="Q14" s="152"/>
      <c r="R14" s="137" t="str">
        <f t="shared" ref="R14:R21" si="23">IF(8.34*$I14*Q14=0,"",8.34*$I14*Q14)</f>
        <v/>
      </c>
      <c r="S14" s="152"/>
      <c r="T14" s="138" t="str">
        <f t="shared" si="4"/>
        <v/>
      </c>
      <c r="U14" s="152"/>
      <c r="V14" s="77" t="str">
        <f t="shared" si="5"/>
        <v/>
      </c>
      <c r="W14" s="152"/>
      <c r="X14" s="138" t="str">
        <f t="shared" si="6"/>
        <v/>
      </c>
      <c r="Y14" s="152"/>
      <c r="Z14" s="138" t="str">
        <f t="shared" si="7"/>
        <v/>
      </c>
      <c r="AA14" s="152"/>
      <c r="AB14" s="138" t="str">
        <f t="shared" si="8"/>
        <v/>
      </c>
      <c r="AC14" s="155"/>
      <c r="AD14" s="139" t="str">
        <f t="shared" si="9"/>
        <v/>
      </c>
      <c r="AE14" s="152"/>
      <c r="AF14" s="77" t="str">
        <f t="shared" si="10"/>
        <v/>
      </c>
      <c r="AG14" s="152"/>
      <c r="AH14" s="138" t="str">
        <f t="shared" si="11"/>
        <v/>
      </c>
      <c r="AI14" s="152"/>
      <c r="AJ14" s="138" t="str">
        <f t="shared" si="12"/>
        <v/>
      </c>
      <c r="AK14" s="152"/>
      <c r="AL14" s="138" t="str">
        <f t="shared" si="13"/>
        <v/>
      </c>
      <c r="AM14" s="152"/>
      <c r="AN14" s="138" t="str">
        <f t="shared" si="14"/>
        <v/>
      </c>
      <c r="AO14" s="154"/>
      <c r="AP14" s="360" t="str">
        <f t="shared" si="15"/>
        <v/>
      </c>
      <c r="AQ14" s="154"/>
      <c r="AR14" s="360" t="str">
        <f t="shared" si="16"/>
        <v/>
      </c>
      <c r="AS14" s="152"/>
      <c r="AT14" s="138" t="str">
        <f t="shared" si="17"/>
        <v/>
      </c>
      <c r="AU14" s="152"/>
      <c r="AV14" s="138" t="str">
        <f t="shared" si="18"/>
        <v/>
      </c>
      <c r="AW14" s="152"/>
      <c r="AX14" s="138" t="str">
        <f t="shared" si="19"/>
        <v/>
      </c>
      <c r="AY14" s="152"/>
      <c r="AZ14" s="138" t="str">
        <f t="shared" si="20"/>
        <v/>
      </c>
      <c r="BA14" s="152"/>
      <c r="BB14" s="138" t="str">
        <f t="shared" si="21"/>
        <v/>
      </c>
      <c r="BC14" s="152"/>
      <c r="BD14" s="138" t="str">
        <f t="shared" si="22"/>
        <v/>
      </c>
      <c r="BE14" s="152"/>
      <c r="BF14" s="77" t="str">
        <f t="shared" si="22"/>
        <v/>
      </c>
      <c r="BG14" s="8"/>
      <c r="BH14" s="8"/>
      <c r="BI14" s="8"/>
      <c r="BJ14" s="8"/>
      <c r="BK14" s="8"/>
      <c r="BL14" s="8"/>
      <c r="BM14" s="8"/>
    </row>
    <row r="15" spans="1:65" s="78" customFormat="1" ht="14.1" customHeight="1" thickTop="1" thickBot="1">
      <c r="A15" s="50">
        <v>4</v>
      </c>
      <c r="B15" s="149"/>
      <c r="C15" s="150"/>
      <c r="D15" s="150"/>
      <c r="E15" s="151"/>
      <c r="F15" s="343"/>
      <c r="G15" s="343"/>
      <c r="H15" s="343"/>
      <c r="I15" s="152"/>
      <c r="J15" s="133" t="str">
        <f t="shared" si="0"/>
        <v/>
      </c>
      <c r="K15" s="154"/>
      <c r="L15" s="136" t="str">
        <f t="shared" si="1"/>
        <v/>
      </c>
      <c r="M15" s="154"/>
      <c r="N15" s="136" t="str">
        <f t="shared" si="2"/>
        <v/>
      </c>
      <c r="O15" s="154"/>
      <c r="P15" s="136" t="str">
        <f t="shared" si="3"/>
        <v/>
      </c>
      <c r="Q15" s="152"/>
      <c r="R15" s="137" t="str">
        <f t="shared" si="23"/>
        <v/>
      </c>
      <c r="S15" s="152"/>
      <c r="T15" s="138" t="str">
        <f t="shared" si="4"/>
        <v/>
      </c>
      <c r="U15" s="152"/>
      <c r="V15" s="77" t="str">
        <f t="shared" si="5"/>
        <v/>
      </c>
      <c r="W15" s="152"/>
      <c r="X15" s="138" t="str">
        <f t="shared" si="6"/>
        <v/>
      </c>
      <c r="Y15" s="152"/>
      <c r="Z15" s="138" t="str">
        <f t="shared" si="7"/>
        <v/>
      </c>
      <c r="AA15" s="152"/>
      <c r="AB15" s="138" t="str">
        <f t="shared" si="8"/>
        <v/>
      </c>
      <c r="AC15" s="155"/>
      <c r="AD15" s="139" t="str">
        <f t="shared" si="9"/>
        <v/>
      </c>
      <c r="AE15" s="152"/>
      <c r="AF15" s="77" t="str">
        <f t="shared" si="10"/>
        <v/>
      </c>
      <c r="AG15" s="152"/>
      <c r="AH15" s="138" t="str">
        <f t="shared" si="11"/>
        <v/>
      </c>
      <c r="AI15" s="152"/>
      <c r="AJ15" s="138" t="str">
        <f t="shared" si="12"/>
        <v/>
      </c>
      <c r="AK15" s="152"/>
      <c r="AL15" s="138" t="str">
        <f t="shared" si="13"/>
        <v/>
      </c>
      <c r="AM15" s="152"/>
      <c r="AN15" s="138" t="str">
        <f t="shared" si="14"/>
        <v/>
      </c>
      <c r="AO15" s="154"/>
      <c r="AP15" s="360" t="str">
        <f t="shared" si="15"/>
        <v/>
      </c>
      <c r="AQ15" s="154"/>
      <c r="AR15" s="360" t="str">
        <f t="shared" si="16"/>
        <v/>
      </c>
      <c r="AS15" s="152"/>
      <c r="AT15" s="138" t="str">
        <f t="shared" si="17"/>
        <v/>
      </c>
      <c r="AU15" s="152"/>
      <c r="AV15" s="138" t="str">
        <f t="shared" si="18"/>
        <v/>
      </c>
      <c r="AW15" s="152"/>
      <c r="AX15" s="138" t="str">
        <f t="shared" si="19"/>
        <v/>
      </c>
      <c r="AY15" s="152"/>
      <c r="AZ15" s="138" t="str">
        <f t="shared" si="20"/>
        <v/>
      </c>
      <c r="BA15" s="152"/>
      <c r="BB15" s="138" t="str">
        <f t="shared" si="21"/>
        <v/>
      </c>
      <c r="BC15" s="152"/>
      <c r="BD15" s="138" t="str">
        <f t="shared" si="22"/>
        <v/>
      </c>
      <c r="BE15" s="152"/>
      <c r="BF15" s="77" t="str">
        <f t="shared" si="22"/>
        <v/>
      </c>
      <c r="BG15" s="8"/>
      <c r="BH15" s="8"/>
      <c r="BI15" s="8"/>
      <c r="BJ15" s="8"/>
      <c r="BK15" s="8"/>
      <c r="BL15" s="8"/>
      <c r="BM15" s="8"/>
    </row>
    <row r="16" spans="1:65" s="78" customFormat="1" ht="14.1" customHeight="1" thickTop="1" thickBot="1">
      <c r="A16" s="50">
        <v>5</v>
      </c>
      <c r="B16" s="149"/>
      <c r="C16" s="150"/>
      <c r="D16" s="150"/>
      <c r="E16" s="151"/>
      <c r="F16" s="343"/>
      <c r="G16" s="343"/>
      <c r="H16" s="343"/>
      <c r="I16" s="152"/>
      <c r="J16" s="133" t="str">
        <f t="shared" si="0"/>
        <v/>
      </c>
      <c r="K16" s="154"/>
      <c r="L16" s="136" t="str">
        <f t="shared" si="1"/>
        <v/>
      </c>
      <c r="M16" s="154"/>
      <c r="N16" s="136" t="str">
        <f t="shared" si="2"/>
        <v/>
      </c>
      <c r="O16" s="154"/>
      <c r="P16" s="136" t="str">
        <f t="shared" si="3"/>
        <v/>
      </c>
      <c r="Q16" s="152"/>
      <c r="R16" s="137" t="str">
        <f t="shared" si="23"/>
        <v/>
      </c>
      <c r="S16" s="152"/>
      <c r="T16" s="138" t="str">
        <f t="shared" si="4"/>
        <v/>
      </c>
      <c r="U16" s="152"/>
      <c r="V16" s="77" t="str">
        <f t="shared" si="5"/>
        <v/>
      </c>
      <c r="W16" s="152"/>
      <c r="X16" s="138" t="str">
        <f t="shared" si="6"/>
        <v/>
      </c>
      <c r="Y16" s="152"/>
      <c r="Z16" s="138" t="str">
        <f t="shared" si="7"/>
        <v/>
      </c>
      <c r="AA16" s="152"/>
      <c r="AB16" s="138" t="str">
        <f t="shared" si="8"/>
        <v/>
      </c>
      <c r="AC16" s="155"/>
      <c r="AD16" s="139" t="str">
        <f t="shared" si="9"/>
        <v/>
      </c>
      <c r="AE16" s="152"/>
      <c r="AF16" s="77" t="str">
        <f t="shared" si="10"/>
        <v/>
      </c>
      <c r="AG16" s="152"/>
      <c r="AH16" s="138" t="str">
        <f t="shared" si="11"/>
        <v/>
      </c>
      <c r="AI16" s="152"/>
      <c r="AJ16" s="138" t="str">
        <f t="shared" si="12"/>
        <v/>
      </c>
      <c r="AK16" s="152"/>
      <c r="AL16" s="138" t="str">
        <f t="shared" si="13"/>
        <v/>
      </c>
      <c r="AM16" s="152"/>
      <c r="AN16" s="138" t="str">
        <f t="shared" si="14"/>
        <v/>
      </c>
      <c r="AO16" s="154"/>
      <c r="AP16" s="360" t="str">
        <f t="shared" si="15"/>
        <v/>
      </c>
      <c r="AQ16" s="154"/>
      <c r="AR16" s="360" t="str">
        <f t="shared" si="16"/>
        <v/>
      </c>
      <c r="AS16" s="152"/>
      <c r="AT16" s="138" t="str">
        <f t="shared" si="17"/>
        <v/>
      </c>
      <c r="AU16" s="152"/>
      <c r="AV16" s="138" t="str">
        <f t="shared" si="18"/>
        <v/>
      </c>
      <c r="AW16" s="152"/>
      <c r="AX16" s="138" t="str">
        <f t="shared" si="19"/>
        <v/>
      </c>
      <c r="AY16" s="152"/>
      <c r="AZ16" s="138" t="str">
        <f t="shared" si="20"/>
        <v/>
      </c>
      <c r="BA16" s="152"/>
      <c r="BB16" s="138" t="str">
        <f t="shared" si="21"/>
        <v/>
      </c>
      <c r="BC16" s="152"/>
      <c r="BD16" s="138" t="str">
        <f t="shared" si="22"/>
        <v/>
      </c>
      <c r="BE16" s="152"/>
      <c r="BF16" s="77" t="str">
        <f t="shared" si="22"/>
        <v/>
      </c>
      <c r="BG16" s="8"/>
      <c r="BH16" s="8"/>
      <c r="BI16" s="8"/>
      <c r="BJ16" s="8"/>
      <c r="BK16" s="8"/>
      <c r="BL16" s="8"/>
      <c r="BM16" s="8"/>
    </row>
    <row r="17" spans="1:65" s="78" customFormat="1" ht="14.1" customHeight="1" thickTop="1" thickBot="1">
      <c r="A17" s="50">
        <v>6</v>
      </c>
      <c r="B17" s="149"/>
      <c r="C17" s="150"/>
      <c r="D17" s="150"/>
      <c r="E17" s="151"/>
      <c r="F17" s="343"/>
      <c r="G17" s="343"/>
      <c r="H17" s="343"/>
      <c r="I17" s="152"/>
      <c r="J17" s="133" t="str">
        <f t="shared" si="0"/>
        <v/>
      </c>
      <c r="K17" s="154"/>
      <c r="L17" s="136" t="str">
        <f t="shared" si="1"/>
        <v/>
      </c>
      <c r="M17" s="154"/>
      <c r="N17" s="136" t="str">
        <f t="shared" si="2"/>
        <v/>
      </c>
      <c r="O17" s="154"/>
      <c r="P17" s="136" t="str">
        <f t="shared" si="3"/>
        <v/>
      </c>
      <c r="Q17" s="152"/>
      <c r="R17" s="137" t="str">
        <f t="shared" si="23"/>
        <v/>
      </c>
      <c r="S17" s="152"/>
      <c r="T17" s="138" t="str">
        <f t="shared" si="4"/>
        <v/>
      </c>
      <c r="U17" s="152"/>
      <c r="V17" s="77" t="str">
        <f t="shared" si="5"/>
        <v/>
      </c>
      <c r="W17" s="152"/>
      <c r="X17" s="138" t="str">
        <f t="shared" si="6"/>
        <v/>
      </c>
      <c r="Y17" s="152"/>
      <c r="Z17" s="138" t="str">
        <f t="shared" si="7"/>
        <v/>
      </c>
      <c r="AA17" s="152"/>
      <c r="AB17" s="138" t="str">
        <f t="shared" si="8"/>
        <v/>
      </c>
      <c r="AC17" s="155"/>
      <c r="AD17" s="139" t="str">
        <f t="shared" si="9"/>
        <v/>
      </c>
      <c r="AE17" s="152"/>
      <c r="AF17" s="77" t="str">
        <f t="shared" si="10"/>
        <v/>
      </c>
      <c r="AG17" s="152"/>
      <c r="AH17" s="138" t="str">
        <f t="shared" si="11"/>
        <v/>
      </c>
      <c r="AI17" s="152"/>
      <c r="AJ17" s="138" t="str">
        <f t="shared" si="12"/>
        <v/>
      </c>
      <c r="AK17" s="152"/>
      <c r="AL17" s="138" t="str">
        <f t="shared" si="13"/>
        <v/>
      </c>
      <c r="AM17" s="152"/>
      <c r="AN17" s="138" t="str">
        <f t="shared" si="14"/>
        <v/>
      </c>
      <c r="AO17" s="154"/>
      <c r="AP17" s="360" t="str">
        <f t="shared" si="15"/>
        <v/>
      </c>
      <c r="AQ17" s="154"/>
      <c r="AR17" s="360" t="str">
        <f t="shared" si="16"/>
        <v/>
      </c>
      <c r="AS17" s="152"/>
      <c r="AT17" s="138" t="str">
        <f t="shared" si="17"/>
        <v/>
      </c>
      <c r="AU17" s="152"/>
      <c r="AV17" s="138" t="str">
        <f t="shared" si="18"/>
        <v/>
      </c>
      <c r="AW17" s="152"/>
      <c r="AX17" s="138" t="str">
        <f t="shared" si="19"/>
        <v/>
      </c>
      <c r="AY17" s="152"/>
      <c r="AZ17" s="138" t="str">
        <f t="shared" si="20"/>
        <v/>
      </c>
      <c r="BA17" s="152"/>
      <c r="BB17" s="138" t="str">
        <f t="shared" si="21"/>
        <v/>
      </c>
      <c r="BC17" s="152"/>
      <c r="BD17" s="138" t="str">
        <f t="shared" si="22"/>
        <v/>
      </c>
      <c r="BE17" s="152"/>
      <c r="BF17" s="77" t="str">
        <f t="shared" si="22"/>
        <v/>
      </c>
      <c r="BG17" s="8"/>
      <c r="BH17" s="8"/>
      <c r="BI17" s="8"/>
      <c r="BJ17" s="8"/>
      <c r="BK17" s="8"/>
      <c r="BL17" s="8"/>
      <c r="BM17" s="8"/>
    </row>
    <row r="18" spans="1:65" s="78" customFormat="1" ht="14.1" customHeight="1" thickTop="1" thickBot="1">
      <c r="A18" s="50">
        <v>7</v>
      </c>
      <c r="B18" s="149"/>
      <c r="C18" s="150"/>
      <c r="D18" s="150"/>
      <c r="E18" s="151"/>
      <c r="F18" s="343"/>
      <c r="G18" s="343"/>
      <c r="H18" s="343"/>
      <c r="I18" s="152"/>
      <c r="J18" s="133" t="str">
        <f t="shared" si="0"/>
        <v/>
      </c>
      <c r="K18" s="154"/>
      <c r="L18" s="136" t="str">
        <f t="shared" si="1"/>
        <v/>
      </c>
      <c r="M18" s="154"/>
      <c r="N18" s="136" t="str">
        <f t="shared" si="2"/>
        <v/>
      </c>
      <c r="O18" s="154"/>
      <c r="P18" s="136" t="str">
        <f t="shared" si="3"/>
        <v/>
      </c>
      <c r="Q18" s="152"/>
      <c r="R18" s="137" t="str">
        <f t="shared" si="23"/>
        <v/>
      </c>
      <c r="S18" s="152"/>
      <c r="T18" s="138" t="str">
        <f t="shared" si="4"/>
        <v/>
      </c>
      <c r="U18" s="152"/>
      <c r="V18" s="77" t="str">
        <f t="shared" si="5"/>
        <v/>
      </c>
      <c r="W18" s="152"/>
      <c r="X18" s="138" t="str">
        <f t="shared" si="6"/>
        <v/>
      </c>
      <c r="Y18" s="152"/>
      <c r="Z18" s="138" t="str">
        <f t="shared" si="7"/>
        <v/>
      </c>
      <c r="AA18" s="152"/>
      <c r="AB18" s="138" t="str">
        <f t="shared" si="8"/>
        <v/>
      </c>
      <c r="AC18" s="155"/>
      <c r="AD18" s="139" t="str">
        <f t="shared" si="9"/>
        <v/>
      </c>
      <c r="AE18" s="152"/>
      <c r="AF18" s="77" t="str">
        <f t="shared" si="10"/>
        <v/>
      </c>
      <c r="AG18" s="152"/>
      <c r="AH18" s="138" t="str">
        <f t="shared" si="11"/>
        <v/>
      </c>
      <c r="AI18" s="152"/>
      <c r="AJ18" s="138" t="str">
        <f t="shared" si="12"/>
        <v/>
      </c>
      <c r="AK18" s="152"/>
      <c r="AL18" s="138" t="str">
        <f t="shared" si="13"/>
        <v/>
      </c>
      <c r="AM18" s="152"/>
      <c r="AN18" s="138" t="str">
        <f t="shared" si="14"/>
        <v/>
      </c>
      <c r="AO18" s="154"/>
      <c r="AP18" s="360" t="str">
        <f t="shared" si="15"/>
        <v/>
      </c>
      <c r="AQ18" s="154"/>
      <c r="AR18" s="360" t="str">
        <f t="shared" si="16"/>
        <v/>
      </c>
      <c r="AS18" s="152"/>
      <c r="AT18" s="138" t="str">
        <f t="shared" si="17"/>
        <v/>
      </c>
      <c r="AU18" s="152"/>
      <c r="AV18" s="138" t="str">
        <f t="shared" si="18"/>
        <v/>
      </c>
      <c r="AW18" s="152"/>
      <c r="AX18" s="138" t="str">
        <f t="shared" si="19"/>
        <v/>
      </c>
      <c r="AY18" s="152"/>
      <c r="AZ18" s="138" t="str">
        <f t="shared" si="20"/>
        <v/>
      </c>
      <c r="BA18" s="152"/>
      <c r="BB18" s="138" t="str">
        <f t="shared" si="21"/>
        <v/>
      </c>
      <c r="BC18" s="152"/>
      <c r="BD18" s="138" t="str">
        <f t="shared" si="22"/>
        <v/>
      </c>
      <c r="BE18" s="152"/>
      <c r="BF18" s="77" t="str">
        <f t="shared" si="22"/>
        <v/>
      </c>
      <c r="BG18" s="8"/>
      <c r="BH18" s="8"/>
      <c r="BI18" s="8"/>
      <c r="BJ18" s="8"/>
      <c r="BK18" s="8"/>
      <c r="BL18" s="8"/>
      <c r="BM18" s="8"/>
    </row>
    <row r="19" spans="1:65" s="78" customFormat="1" ht="14.1" customHeight="1" thickTop="1" thickBot="1">
      <c r="A19" s="50">
        <v>8</v>
      </c>
      <c r="B19" s="149"/>
      <c r="C19" s="150"/>
      <c r="D19" s="150"/>
      <c r="E19" s="151"/>
      <c r="F19" s="343"/>
      <c r="G19" s="343"/>
      <c r="H19" s="343"/>
      <c r="I19" s="152"/>
      <c r="J19" s="133" t="str">
        <f t="shared" si="0"/>
        <v/>
      </c>
      <c r="K19" s="154"/>
      <c r="L19" s="136" t="str">
        <f t="shared" si="1"/>
        <v/>
      </c>
      <c r="M19" s="154"/>
      <c r="N19" s="136" t="str">
        <f t="shared" si="2"/>
        <v/>
      </c>
      <c r="O19" s="154"/>
      <c r="P19" s="136" t="str">
        <f t="shared" si="3"/>
        <v/>
      </c>
      <c r="Q19" s="152"/>
      <c r="R19" s="137" t="str">
        <f t="shared" si="23"/>
        <v/>
      </c>
      <c r="S19" s="152"/>
      <c r="T19" s="138" t="str">
        <f t="shared" si="4"/>
        <v/>
      </c>
      <c r="U19" s="152"/>
      <c r="V19" s="77" t="str">
        <f t="shared" si="5"/>
        <v/>
      </c>
      <c r="W19" s="152"/>
      <c r="X19" s="138" t="str">
        <f t="shared" si="6"/>
        <v/>
      </c>
      <c r="Y19" s="152"/>
      <c r="Z19" s="138" t="str">
        <f t="shared" si="7"/>
        <v/>
      </c>
      <c r="AA19" s="152"/>
      <c r="AB19" s="138" t="str">
        <f t="shared" si="8"/>
        <v/>
      </c>
      <c r="AC19" s="155"/>
      <c r="AD19" s="139" t="str">
        <f t="shared" si="9"/>
        <v/>
      </c>
      <c r="AE19" s="152"/>
      <c r="AF19" s="77" t="str">
        <f t="shared" si="10"/>
        <v/>
      </c>
      <c r="AG19" s="152"/>
      <c r="AH19" s="138" t="str">
        <f t="shared" si="11"/>
        <v/>
      </c>
      <c r="AI19" s="152"/>
      <c r="AJ19" s="138" t="str">
        <f t="shared" si="12"/>
        <v/>
      </c>
      <c r="AK19" s="152"/>
      <c r="AL19" s="138" t="str">
        <f t="shared" si="13"/>
        <v/>
      </c>
      <c r="AM19" s="152"/>
      <c r="AN19" s="138" t="str">
        <f t="shared" si="14"/>
        <v/>
      </c>
      <c r="AO19" s="154"/>
      <c r="AP19" s="360" t="str">
        <f t="shared" si="15"/>
        <v/>
      </c>
      <c r="AQ19" s="154"/>
      <c r="AR19" s="360" t="str">
        <f t="shared" si="16"/>
        <v/>
      </c>
      <c r="AS19" s="152"/>
      <c r="AT19" s="138" t="str">
        <f t="shared" si="17"/>
        <v/>
      </c>
      <c r="AU19" s="152"/>
      <c r="AV19" s="138" t="str">
        <f t="shared" si="18"/>
        <v/>
      </c>
      <c r="AW19" s="152"/>
      <c r="AX19" s="138" t="str">
        <f t="shared" si="19"/>
        <v/>
      </c>
      <c r="AY19" s="152"/>
      <c r="AZ19" s="138" t="str">
        <f t="shared" si="20"/>
        <v/>
      </c>
      <c r="BA19" s="152"/>
      <c r="BB19" s="138" t="str">
        <f t="shared" si="21"/>
        <v/>
      </c>
      <c r="BC19" s="152"/>
      <c r="BD19" s="138" t="str">
        <f t="shared" si="22"/>
        <v/>
      </c>
      <c r="BE19" s="152"/>
      <c r="BF19" s="77" t="str">
        <f t="shared" si="22"/>
        <v/>
      </c>
      <c r="BG19" s="8"/>
      <c r="BH19" s="8"/>
      <c r="BI19" s="8"/>
      <c r="BJ19" s="8"/>
      <c r="BK19" s="8"/>
      <c r="BL19" s="8"/>
      <c r="BM19" s="8"/>
    </row>
    <row r="20" spans="1:65" s="78" customFormat="1" ht="14.1" customHeight="1" thickTop="1" thickBot="1">
      <c r="A20" s="50">
        <v>9</v>
      </c>
      <c r="B20" s="149"/>
      <c r="C20" s="150"/>
      <c r="D20" s="153"/>
      <c r="E20" s="151"/>
      <c r="F20" s="343"/>
      <c r="G20" s="343"/>
      <c r="H20" s="343"/>
      <c r="I20" s="152"/>
      <c r="J20" s="133" t="str">
        <f t="shared" si="0"/>
        <v/>
      </c>
      <c r="K20" s="154"/>
      <c r="L20" s="136" t="str">
        <f t="shared" si="1"/>
        <v/>
      </c>
      <c r="M20" s="154"/>
      <c r="N20" s="136" t="str">
        <f t="shared" si="2"/>
        <v/>
      </c>
      <c r="O20" s="154"/>
      <c r="P20" s="136" t="str">
        <f t="shared" si="3"/>
        <v/>
      </c>
      <c r="Q20" s="152"/>
      <c r="R20" s="137" t="str">
        <f t="shared" si="23"/>
        <v/>
      </c>
      <c r="S20" s="152"/>
      <c r="T20" s="138" t="str">
        <f t="shared" si="4"/>
        <v/>
      </c>
      <c r="U20" s="152"/>
      <c r="V20" s="77" t="str">
        <f t="shared" si="5"/>
        <v/>
      </c>
      <c r="W20" s="152"/>
      <c r="X20" s="138" t="str">
        <f t="shared" si="6"/>
        <v/>
      </c>
      <c r="Y20" s="152"/>
      <c r="Z20" s="138" t="str">
        <f t="shared" si="7"/>
        <v/>
      </c>
      <c r="AA20" s="152"/>
      <c r="AB20" s="138" t="str">
        <f t="shared" si="8"/>
        <v/>
      </c>
      <c r="AC20" s="155"/>
      <c r="AD20" s="139" t="str">
        <f t="shared" si="9"/>
        <v/>
      </c>
      <c r="AE20" s="152"/>
      <c r="AF20" s="77" t="str">
        <f t="shared" si="10"/>
        <v/>
      </c>
      <c r="AG20" s="152"/>
      <c r="AH20" s="138" t="str">
        <f t="shared" si="11"/>
        <v/>
      </c>
      <c r="AI20" s="152"/>
      <c r="AJ20" s="138" t="str">
        <f t="shared" si="12"/>
        <v/>
      </c>
      <c r="AK20" s="152"/>
      <c r="AL20" s="138" t="str">
        <f t="shared" si="13"/>
        <v/>
      </c>
      <c r="AM20" s="152"/>
      <c r="AN20" s="138" t="str">
        <f t="shared" si="14"/>
        <v/>
      </c>
      <c r="AO20" s="154"/>
      <c r="AP20" s="360" t="str">
        <f t="shared" si="15"/>
        <v/>
      </c>
      <c r="AQ20" s="154"/>
      <c r="AR20" s="360" t="str">
        <f t="shared" si="16"/>
        <v/>
      </c>
      <c r="AS20" s="152"/>
      <c r="AT20" s="138" t="str">
        <f t="shared" si="17"/>
        <v/>
      </c>
      <c r="AU20" s="152"/>
      <c r="AV20" s="138" t="str">
        <f t="shared" si="18"/>
        <v/>
      </c>
      <c r="AW20" s="152"/>
      <c r="AX20" s="138" t="str">
        <f t="shared" si="19"/>
        <v/>
      </c>
      <c r="AY20" s="152"/>
      <c r="AZ20" s="138" t="str">
        <f t="shared" si="20"/>
        <v/>
      </c>
      <c r="BA20" s="152"/>
      <c r="BB20" s="138" t="str">
        <f t="shared" si="21"/>
        <v/>
      </c>
      <c r="BC20" s="152"/>
      <c r="BD20" s="138" t="str">
        <f t="shared" si="22"/>
        <v/>
      </c>
      <c r="BE20" s="152"/>
      <c r="BF20" s="77" t="str">
        <f t="shared" si="22"/>
        <v/>
      </c>
      <c r="BG20" s="8"/>
      <c r="BH20" s="8"/>
      <c r="BI20" s="8"/>
      <c r="BJ20" s="8"/>
      <c r="BK20" s="8"/>
      <c r="BL20" s="8"/>
      <c r="BM20" s="8"/>
    </row>
    <row r="21" spans="1:65" s="78" customFormat="1" ht="14.1" customHeight="1" thickTop="1" thickBot="1">
      <c r="A21" s="50">
        <v>10</v>
      </c>
      <c r="B21" s="149"/>
      <c r="C21" s="359"/>
      <c r="D21" s="152"/>
      <c r="E21" s="152"/>
      <c r="F21" s="344"/>
      <c r="G21" s="344"/>
      <c r="H21" s="344"/>
      <c r="I21" s="152"/>
      <c r="J21" s="140" t="str">
        <f t="shared" si="0"/>
        <v/>
      </c>
      <c r="K21" s="152"/>
      <c r="L21" s="136" t="str">
        <f t="shared" si="1"/>
        <v/>
      </c>
      <c r="M21" s="152"/>
      <c r="N21" s="136" t="str">
        <f t="shared" si="2"/>
        <v/>
      </c>
      <c r="O21" s="152"/>
      <c r="P21" s="136" t="str">
        <f t="shared" si="3"/>
        <v/>
      </c>
      <c r="Q21" s="152"/>
      <c r="R21" s="137" t="str">
        <f t="shared" si="23"/>
        <v/>
      </c>
      <c r="S21" s="152"/>
      <c r="T21" s="138" t="str">
        <f t="shared" si="4"/>
        <v/>
      </c>
      <c r="U21" s="152"/>
      <c r="V21" s="77" t="str">
        <f t="shared" si="5"/>
        <v/>
      </c>
      <c r="W21" s="152"/>
      <c r="X21" s="138" t="str">
        <f t="shared" si="6"/>
        <v/>
      </c>
      <c r="Y21" s="152"/>
      <c r="Z21" s="138" t="str">
        <f t="shared" si="7"/>
        <v/>
      </c>
      <c r="AA21" s="152"/>
      <c r="AB21" s="138" t="str">
        <f t="shared" si="8"/>
        <v/>
      </c>
      <c r="AC21" s="152"/>
      <c r="AD21" s="139" t="str">
        <f t="shared" si="9"/>
        <v/>
      </c>
      <c r="AE21" s="152"/>
      <c r="AF21" s="77" t="str">
        <f t="shared" si="10"/>
        <v/>
      </c>
      <c r="AG21" s="152"/>
      <c r="AH21" s="138" t="str">
        <f t="shared" si="11"/>
        <v/>
      </c>
      <c r="AI21" s="152"/>
      <c r="AJ21" s="138" t="str">
        <f t="shared" si="12"/>
        <v/>
      </c>
      <c r="AK21" s="152"/>
      <c r="AL21" s="138" t="str">
        <f t="shared" si="13"/>
        <v/>
      </c>
      <c r="AM21" s="152"/>
      <c r="AN21" s="138" t="str">
        <f t="shared" si="14"/>
        <v/>
      </c>
      <c r="AO21" s="154"/>
      <c r="AP21" s="360" t="str">
        <f t="shared" si="15"/>
        <v/>
      </c>
      <c r="AQ21" s="154"/>
      <c r="AR21" s="360" t="str">
        <f t="shared" si="16"/>
        <v/>
      </c>
      <c r="AS21" s="152"/>
      <c r="AT21" s="138" t="str">
        <f t="shared" si="17"/>
        <v/>
      </c>
      <c r="AU21" s="152"/>
      <c r="AV21" s="138" t="str">
        <f t="shared" si="18"/>
        <v/>
      </c>
      <c r="AW21" s="152"/>
      <c r="AX21" s="138" t="str">
        <f t="shared" si="19"/>
        <v/>
      </c>
      <c r="AY21" s="152"/>
      <c r="AZ21" s="138" t="str">
        <f t="shared" si="20"/>
        <v/>
      </c>
      <c r="BA21" s="152"/>
      <c r="BB21" s="138" t="str">
        <f t="shared" si="21"/>
        <v/>
      </c>
      <c r="BC21" s="152"/>
      <c r="BD21" s="138" t="str">
        <f t="shared" si="22"/>
        <v/>
      </c>
      <c r="BE21" s="152"/>
      <c r="BF21" s="77" t="str">
        <f t="shared" si="22"/>
        <v/>
      </c>
      <c r="BG21" s="8"/>
      <c r="BH21" s="8"/>
      <c r="BI21" s="8"/>
      <c r="BJ21" s="8"/>
      <c r="BK21" s="8"/>
      <c r="BL21" s="8"/>
      <c r="BM21" s="8"/>
    </row>
    <row r="22" spans="1:65" s="84" customFormat="1" ht="14.1" customHeight="1" thickTop="1">
      <c r="A22" s="79"/>
      <c r="B22" s="141"/>
      <c r="C22" s="141" t="s">
        <v>56</v>
      </c>
      <c r="D22" s="80"/>
      <c r="E22" s="145"/>
      <c r="F22" s="145"/>
      <c r="G22" s="145"/>
      <c r="H22" s="145"/>
      <c r="I22" s="161" t="str">
        <f>IF(SUM(I12:I21)=0,"",SUM(I12:I21))</f>
        <v/>
      </c>
      <c r="J22" s="142" t="str">
        <f>IF(SUM(J12:J21)=0,"",SUM(J12:J21))</f>
        <v/>
      </c>
      <c r="K22" s="144"/>
      <c r="L22" s="234">
        <f>SUM(L12:L21)</f>
        <v>0</v>
      </c>
      <c r="M22" s="144"/>
      <c r="N22" s="234">
        <f>SUM(N12:N21)</f>
        <v>0</v>
      </c>
      <c r="O22" s="144"/>
      <c r="P22" s="234">
        <f>SUM(P12:P21)</f>
        <v>0</v>
      </c>
      <c r="Q22" s="144"/>
      <c r="R22" s="238">
        <f>SUM(R12:R21)</f>
        <v>0</v>
      </c>
      <c r="S22" s="144"/>
      <c r="T22" s="238">
        <f>SUM(T12:T21)</f>
        <v>0</v>
      </c>
      <c r="U22" s="144"/>
      <c r="V22" s="238">
        <f>SUM(V12:V21)</f>
        <v>0</v>
      </c>
      <c r="W22" s="144"/>
      <c r="X22" s="238">
        <f>SUM(X12:X21)</f>
        <v>0</v>
      </c>
      <c r="Y22" s="144"/>
      <c r="Z22" s="238">
        <f>SUM(Z12:Z21)</f>
        <v>0</v>
      </c>
      <c r="AA22" s="144"/>
      <c r="AB22" s="238">
        <f>SUM(AB12:AB21)</f>
        <v>0</v>
      </c>
      <c r="AC22" s="144"/>
      <c r="AD22" s="239">
        <f>SUM(AD12:AD21)</f>
        <v>0</v>
      </c>
      <c r="AE22" s="144"/>
      <c r="AF22" s="238">
        <f>SUM(AF12:AF21)</f>
        <v>0</v>
      </c>
      <c r="AG22" s="144"/>
      <c r="AH22" s="238">
        <f>SUM(AH12:AH21)</f>
        <v>0</v>
      </c>
      <c r="AI22" s="144"/>
      <c r="AJ22" s="238">
        <f>SUM(AJ12:AJ21)</f>
        <v>0</v>
      </c>
      <c r="AK22" s="144"/>
      <c r="AL22" s="238">
        <f>SUM(AL12:AL21)</f>
        <v>0</v>
      </c>
      <c r="AM22" s="144"/>
      <c r="AN22" s="238">
        <f>SUM(AN12:AN21)</f>
        <v>0</v>
      </c>
      <c r="AO22" s="144"/>
      <c r="AP22" s="143">
        <f>SUM(AP12:AP21)</f>
        <v>0</v>
      </c>
      <c r="AQ22" s="144"/>
      <c r="AR22" s="143">
        <f>SUM(AR12:AR21)</f>
        <v>0</v>
      </c>
      <c r="AS22" s="144"/>
      <c r="AT22" s="238">
        <f>SUM(AT12:AT21)</f>
        <v>0</v>
      </c>
      <c r="AU22" s="144"/>
      <c r="AV22" s="238">
        <f>SUM(AV12:AV21)</f>
        <v>0</v>
      </c>
      <c r="AW22" s="144"/>
      <c r="AX22" s="238">
        <f>SUM(AX12:AX21)</f>
        <v>0</v>
      </c>
      <c r="AY22" s="144"/>
      <c r="AZ22" s="238">
        <f>SUM(AZ12:AZ21)</f>
        <v>0</v>
      </c>
      <c r="BA22" s="144"/>
      <c r="BB22" s="238">
        <f>SUM(BB12:BB21)</f>
        <v>0</v>
      </c>
      <c r="BC22" s="144"/>
      <c r="BD22" s="238">
        <f>SUM(BD12:BD21)</f>
        <v>0</v>
      </c>
      <c r="BE22" s="144"/>
      <c r="BF22" s="238">
        <f>SUM(BF12:BF21)</f>
        <v>0</v>
      </c>
      <c r="BG22" s="8"/>
      <c r="BH22" s="8"/>
      <c r="BI22" s="8"/>
      <c r="BJ22" s="8"/>
      <c r="BK22" s="8"/>
      <c r="BL22" s="8"/>
      <c r="BM22" s="8"/>
    </row>
    <row r="23" spans="1:65" s="346" customFormat="1" ht="33" customHeight="1">
      <c r="B23" s="347"/>
      <c r="C23" s="348" t="s">
        <v>62</v>
      </c>
      <c r="D23" s="348"/>
      <c r="E23" s="349"/>
      <c r="F23" s="350"/>
      <c r="G23" s="350"/>
      <c r="H23" s="350"/>
      <c r="I23" s="351" t="s">
        <v>11</v>
      </c>
      <c r="J23" s="352"/>
      <c r="K23" s="353"/>
      <c r="L23" s="354" t="str">
        <f>IF(HWA!$C135="","",HWA!$C135)</f>
        <v/>
      </c>
      <c r="M23" s="355"/>
      <c r="N23" s="354" t="str">
        <f>IF(HWA!$C136="","",HWA!$C136)</f>
        <v/>
      </c>
      <c r="O23" s="354"/>
      <c r="P23" s="354" t="str">
        <f>IF(HWA!$C137="","",HWA!$C137)</f>
        <v/>
      </c>
      <c r="Q23" s="356"/>
      <c r="R23" s="354" t="str">
        <f>IF(HWA!$C138="","",HWA!$C138)</f>
        <v/>
      </c>
      <c r="S23" s="357"/>
      <c r="T23" s="354" t="str">
        <f>IF(HWA!$C139="","",HWA!$C139)</f>
        <v/>
      </c>
      <c r="U23" s="357"/>
      <c r="V23" s="357" t="str">
        <f>IF(HWA!$C140="","",HWA!$C140)</f>
        <v/>
      </c>
      <c r="W23" s="357"/>
      <c r="X23" s="354" t="str">
        <f>IF(HWA!$C141="","",HWA!$C141)</f>
        <v/>
      </c>
      <c r="Y23" s="357"/>
      <c r="Z23" s="354" t="str">
        <f>IF(HWA!$C142="","",HWA!$C142)</f>
        <v/>
      </c>
      <c r="AA23" s="357"/>
      <c r="AB23" s="354" t="str">
        <f>IF(HWA!$C143="","",HWA!$C143)</f>
        <v/>
      </c>
      <c r="AC23" s="358"/>
      <c r="AD23" s="354" t="str">
        <f>IF(HWA!$C144="","",HWA!$C144)</f>
        <v/>
      </c>
      <c r="AE23" s="357"/>
      <c r="AF23" s="354" t="str">
        <f>IF(HWA!$C145="","",HWA!$C145)</f>
        <v/>
      </c>
      <c r="AG23" s="357"/>
      <c r="AH23" s="354" t="str">
        <f>IF(HWA!$C146="","",HWA!$C146)</f>
        <v/>
      </c>
      <c r="AI23" s="357"/>
      <c r="AJ23" s="354" t="str">
        <f>IF(HWA!$C147="","",HWA!$C147)</f>
        <v/>
      </c>
      <c r="AK23" s="354"/>
      <c r="AL23" s="357" t="str">
        <f>IF(HWA!$C148="","",HWA!$C148)</f>
        <v/>
      </c>
      <c r="AM23" s="357"/>
      <c r="AN23" s="354" t="str">
        <f>IF(HWA!$C149="","",HWA!$C149)</f>
        <v/>
      </c>
      <c r="AO23" s="357"/>
      <c r="AP23" s="354" t="str">
        <f>IF(HWA!$C150="","",HWA!$C150)</f>
        <v/>
      </c>
      <c r="AQ23" s="357"/>
      <c r="AR23" s="354" t="str">
        <f>IF(HWA!$C151="","",HWA!$C151)</f>
        <v/>
      </c>
      <c r="AS23" s="357"/>
      <c r="AT23" s="354" t="str">
        <f>IF(HWA!$C152="","",HWA!$C152)</f>
        <v/>
      </c>
      <c r="AU23" s="357"/>
      <c r="AV23" s="354" t="str">
        <f>IF(HWA!$C153="","",HWA!$C153)</f>
        <v/>
      </c>
      <c r="AW23" s="357"/>
      <c r="AX23" s="354" t="str">
        <f>IF(HWA!$C154="","",HWA!$C154)</f>
        <v/>
      </c>
      <c r="AY23" s="357"/>
      <c r="AZ23" s="354" t="str">
        <f>IF(HWA!$C155="","",HWA!$C155)</f>
        <v/>
      </c>
      <c r="BA23" s="357"/>
      <c r="BB23" s="354" t="str">
        <f>IF(HWA!$C156="","",HWA!$C156)</f>
        <v/>
      </c>
      <c r="BC23" s="357"/>
      <c r="BD23" s="354" t="str">
        <f>IF(HWA!$C157="","",HWA!$C157)</f>
        <v/>
      </c>
      <c r="BE23" s="357"/>
      <c r="BF23" s="354" t="str">
        <f>IF(HWA!$C158="","",HWA!$C158)</f>
        <v/>
      </c>
      <c r="BG23" s="347"/>
      <c r="BH23" s="347"/>
      <c r="BI23" s="347"/>
      <c r="BJ23" s="347"/>
      <c r="BK23" s="347"/>
      <c r="BL23" s="347"/>
      <c r="BM23" s="347"/>
    </row>
    <row r="24" spans="1:65" s="84" customFormat="1" ht="14.1" customHeight="1">
      <c r="A24" s="79"/>
      <c r="B24"/>
      <c r="C24" s="80" t="s">
        <v>57</v>
      </c>
      <c r="D24" s="80"/>
      <c r="E24" s="78"/>
      <c r="F24" s="87"/>
      <c r="G24" s="87"/>
      <c r="H24" s="158" t="s">
        <v>73</v>
      </c>
      <c r="I24" s="160" t="str">
        <f>IF(HWA!C7="","",HWA!C7)</f>
        <v/>
      </c>
      <c r="J24" s="80"/>
      <c r="K24" s="82"/>
      <c r="L24" s="235" t="str">
        <f>IF(HWA!$B135="","",HWA!$B135)</f>
        <v/>
      </c>
      <c r="M24" s="89"/>
      <c r="N24" s="235" t="str">
        <f>IF(HWA!$B136="","",HWA!$B136)</f>
        <v/>
      </c>
      <c r="O24" s="82"/>
      <c r="P24" s="345" t="str">
        <f>IF(HWA!$B137="","",HWA!$B137)</f>
        <v/>
      </c>
      <c r="Q24" s="91"/>
      <c r="R24" s="131" t="str">
        <f>IF(HWA!$B138="","",HWA!$B138)</f>
        <v/>
      </c>
      <c r="S24" s="92"/>
      <c r="T24" s="131" t="str">
        <f>IF(HWA!$B139="","",HWA!$B139)</f>
        <v/>
      </c>
      <c r="U24" s="92"/>
      <c r="V24" s="131" t="str">
        <f>IF(HWA!$B140="","",HWA!$B140)</f>
        <v/>
      </c>
      <c r="W24" s="92"/>
      <c r="X24" s="131" t="str">
        <f>IF(HWA!$B141="","",HWA!$B141)</f>
        <v/>
      </c>
      <c r="Y24" s="92"/>
      <c r="Z24" s="131" t="str">
        <f>IF(HWA!$B142="","",HWA!$B142)</f>
        <v/>
      </c>
      <c r="AA24" s="83"/>
      <c r="AB24" s="131" t="str">
        <f>IF(HWA!$B143="","",HWA!$B143)</f>
        <v/>
      </c>
      <c r="AC24" s="94"/>
      <c r="AD24" s="240" t="str">
        <f>IF(HWA!$B144="","",HWA!$B144)</f>
        <v/>
      </c>
      <c r="AE24" s="92"/>
      <c r="AF24" s="131" t="str">
        <f>IF(HWA!$B145="","",HWA!$B145)</f>
        <v/>
      </c>
      <c r="AG24" s="92"/>
      <c r="AH24" s="131" t="str">
        <f>IF(HWA!$B146="","",HWA!$B146)</f>
        <v/>
      </c>
      <c r="AI24" s="92"/>
      <c r="AJ24" s="131" t="str">
        <f>IF(HWA!$B147="","",HWA!$B147)</f>
        <v/>
      </c>
      <c r="AK24" s="93"/>
      <c r="AL24" s="131" t="str">
        <f>IF(HWA!$B148="","",HWA!$B148)</f>
        <v/>
      </c>
      <c r="AM24" s="92"/>
      <c r="AN24" s="131" t="str">
        <f>IF(HWA!$B149="","",HWA!$B149)</f>
        <v/>
      </c>
      <c r="AO24" s="92"/>
      <c r="AP24" s="131" t="str">
        <f>IF(HWA!$B150="","",HWA!$B150)</f>
        <v/>
      </c>
      <c r="AQ24" s="92"/>
      <c r="AR24" s="345" t="str">
        <f>IF(HWA!$B151="","",HWA!$B151)</f>
        <v/>
      </c>
      <c r="AS24" s="92"/>
      <c r="AT24" s="131" t="str">
        <f>IF(HWA!$B152="","",HWA!$B152)</f>
        <v/>
      </c>
      <c r="AU24" s="92"/>
      <c r="AV24" s="131" t="str">
        <f>IF(HWA!$B153="","",HWA!$B153)</f>
        <v/>
      </c>
      <c r="AW24" s="92"/>
      <c r="AX24" s="131" t="str">
        <f>IF(HWA!$B154="","",HWA!$B154)</f>
        <v/>
      </c>
      <c r="AY24" s="92"/>
      <c r="AZ24" s="131" t="str">
        <f>IF(HWA!$B155="","",HWA!$B155)</f>
        <v/>
      </c>
      <c r="BA24" s="92"/>
      <c r="BB24" s="131" t="str">
        <f>IF(HWA!$B156="","",HWA!$B156)</f>
        <v/>
      </c>
      <c r="BC24" s="92"/>
      <c r="BD24" s="131" t="str">
        <f>IF(HWA!$B157="","",HWA!$B157)</f>
        <v/>
      </c>
      <c r="BE24" s="92"/>
      <c r="BF24" s="131" t="str">
        <f>IF(HWA!$B158="","",HWA!$B158)</f>
        <v/>
      </c>
      <c r="BG24" s="8"/>
      <c r="BH24" s="8"/>
      <c r="BI24" s="8"/>
      <c r="BJ24" s="8"/>
      <c r="BK24" s="8"/>
      <c r="BL24" s="8"/>
      <c r="BM24" s="8"/>
    </row>
    <row r="25" spans="1:65" customFormat="1" ht="12.95" customHeight="1">
      <c r="C25" s="95" t="s">
        <v>58</v>
      </c>
      <c r="D25" s="95"/>
      <c r="I25" s="159" t="str">
        <f>IF(HWA!C9="","",HWA!C9)</f>
        <v/>
      </c>
      <c r="K25" s="82"/>
      <c r="L25" s="236" t="str">
        <f>IF(HWA!$G135="","",HWA!$G135)</f>
        <v/>
      </c>
      <c r="M25" s="27"/>
      <c r="N25" s="236" t="str">
        <f>IF(HWA!$G136="","",HWA!$G136)</f>
        <v/>
      </c>
      <c r="O25" s="32"/>
      <c r="P25" s="96" t="str">
        <f>IF(HWA!$G137="","",HWA!$G137)</f>
        <v/>
      </c>
      <c r="Q25" s="29"/>
      <c r="R25" s="22" t="str">
        <f>IF(HWA!$G138="","",HWA!$G138)</f>
        <v/>
      </c>
      <c r="S25" s="29"/>
      <c r="T25" s="22" t="str">
        <f>IF(HWA!$G139="","",HWA!$G139)</f>
        <v/>
      </c>
      <c r="U25" s="29"/>
      <c r="V25" s="22" t="str">
        <f>IF(HWA!$G140="","",HWA!$G140)</f>
        <v/>
      </c>
      <c r="W25" s="29"/>
      <c r="X25" s="22" t="str">
        <f>IF(HWA!$G141="","",HWA!$G141)</f>
        <v/>
      </c>
      <c r="Y25" s="29"/>
      <c r="Z25" s="22" t="str">
        <f>IF(HWA!$G142="","",HWA!$G142)</f>
        <v/>
      </c>
      <c r="AA25" s="29"/>
      <c r="AB25" s="22" t="str">
        <f>IF(HWA!$G143="","",HWA!$G143)</f>
        <v/>
      </c>
      <c r="AC25" s="86"/>
      <c r="AD25" s="165" t="str">
        <f>IF(HWA!$G144="","",HWA!$G144)</f>
        <v/>
      </c>
      <c r="AE25" s="29"/>
      <c r="AF25" s="22" t="str">
        <f>IF(HWA!$G145="","",HWA!$G145)</f>
        <v/>
      </c>
      <c r="AG25" s="29"/>
      <c r="AH25" s="22" t="str">
        <f>IF(HWA!$G146="","",HWA!$G146)</f>
        <v/>
      </c>
      <c r="AI25" s="29"/>
      <c r="AJ25" s="22" t="str">
        <f>IF(HWA!$G147="","",HWA!$G147)</f>
        <v/>
      </c>
      <c r="AK25" s="32"/>
      <c r="AL25" s="22" t="str">
        <f>IF(HWA!$G148="","",HWA!$G148)</f>
        <v/>
      </c>
      <c r="AM25" s="29"/>
      <c r="AN25" s="22" t="str">
        <f>IF(HWA!$G149="","",HWA!$G149)</f>
        <v/>
      </c>
      <c r="AO25" s="29"/>
      <c r="AP25" s="22" t="str">
        <f>IF(HWA!$G150="","",HWA!$G150)</f>
        <v/>
      </c>
      <c r="AQ25" s="29"/>
      <c r="AR25" s="96" t="str">
        <f>IF(HWA!$G151="","",HWA!$G151)</f>
        <v/>
      </c>
      <c r="AS25" s="29"/>
      <c r="AT25" s="22" t="str">
        <f>IF(HWA!$G152="","",HWA!$G152)</f>
        <v/>
      </c>
      <c r="AU25" s="29"/>
      <c r="AV25" s="22" t="str">
        <f>IF(HWA!$G153="","",HWA!$G153)</f>
        <v/>
      </c>
      <c r="AW25" s="29"/>
      <c r="AX25" s="22" t="str">
        <f>IF(HWA!$G154="","",HWA!$G154)</f>
        <v/>
      </c>
      <c r="AY25" s="29"/>
      <c r="AZ25" s="22" t="str">
        <f>IF(HWA!$G155="","",HWA!$G155)</f>
        <v/>
      </c>
      <c r="BA25" s="29"/>
      <c r="BB25" s="22" t="str">
        <f>IF(HWA!$G156="","",HWA!$G156)</f>
        <v/>
      </c>
      <c r="BC25" s="29"/>
      <c r="BD25" s="22" t="str">
        <f>IF(HWA!$G157="","",HWA!$G157)</f>
        <v/>
      </c>
      <c r="BE25" s="29"/>
      <c r="BF25" s="22" t="str">
        <f>IF(HWA!$G158="","",HWA!$G158)</f>
        <v/>
      </c>
    </row>
    <row r="26" spans="1:65" customFormat="1" ht="12.95" customHeight="1">
      <c r="C26" s="80" t="s">
        <v>161</v>
      </c>
      <c r="D26" s="80"/>
      <c r="I26" s="157" t="str">
        <f>IF(I24="","",I24-I25)</f>
        <v/>
      </c>
      <c r="K26" s="82"/>
      <c r="L26" s="236" t="str">
        <f>IF(L24="","",L24-L25)</f>
        <v/>
      </c>
      <c r="M26" s="32"/>
      <c r="N26" s="236" t="str">
        <f>IF(N24="","",N24-N25)</f>
        <v/>
      </c>
      <c r="O26" s="32"/>
      <c r="P26" s="96" t="str">
        <f>IF(P24="","",P24-P25)</f>
        <v/>
      </c>
      <c r="Q26" s="29"/>
      <c r="R26" s="22" t="str">
        <f>IF(R24="","",R24-R25)</f>
        <v/>
      </c>
      <c r="S26" s="29"/>
      <c r="T26" s="22" t="str">
        <f>IF(T24="","",T24-T25)</f>
        <v/>
      </c>
      <c r="U26" s="29"/>
      <c r="V26" s="22" t="str">
        <f>IF(V24="","",V24-V25)</f>
        <v/>
      </c>
      <c r="W26" s="29"/>
      <c r="X26" s="22" t="str">
        <f>IF(X24="","",X24-X25)</f>
        <v/>
      </c>
      <c r="Y26" s="29"/>
      <c r="Z26" s="22" t="str">
        <f>IF(Z24="","",Z24-Z25)</f>
        <v/>
      </c>
      <c r="AA26" s="29"/>
      <c r="AB26" s="22" t="str">
        <f>IF(AB24="","",AB24-AB25)</f>
        <v/>
      </c>
      <c r="AC26" s="86"/>
      <c r="AD26" s="165" t="str">
        <f>IF(AD24="","",AD24-AD25)</f>
        <v/>
      </c>
      <c r="AE26" s="29"/>
      <c r="AF26" s="22" t="str">
        <f>IF(AF24="","",AF24-AF25)</f>
        <v/>
      </c>
      <c r="AG26" s="29"/>
      <c r="AH26" s="22" t="str">
        <f>IF(AH24="","",AH24-AH25)</f>
        <v/>
      </c>
      <c r="AI26" s="29"/>
      <c r="AJ26" s="22" t="str">
        <f>IF(AJ24="","",AJ24-AJ25)</f>
        <v/>
      </c>
      <c r="AK26" s="32"/>
      <c r="AL26" s="22" t="str">
        <f>IF(AL24="","",AL24-AL25)</f>
        <v/>
      </c>
      <c r="AM26" s="29"/>
      <c r="AN26" s="22" t="str">
        <f>IF(AN24="","",AN24-AN25)</f>
        <v/>
      </c>
      <c r="AO26" s="29"/>
      <c r="AP26" s="96" t="str">
        <f>IF(AP24="","",AP24-AP25)</f>
        <v/>
      </c>
      <c r="AQ26" s="29"/>
      <c r="AR26" s="96" t="str">
        <f>IF(AR24="","",AR24-AR25)</f>
        <v/>
      </c>
      <c r="AS26" s="29"/>
      <c r="AT26" s="22" t="str">
        <f>IF(AT24="","",AT24-AT25)</f>
        <v/>
      </c>
      <c r="AU26" s="29"/>
      <c r="AV26" s="22" t="str">
        <f>IF(AV24="","",AV24-AV25)</f>
        <v/>
      </c>
      <c r="AW26" s="29"/>
      <c r="AX26" s="22" t="str">
        <f>IF(AX24="","",AX24-AX25)</f>
        <v/>
      </c>
      <c r="AY26" s="29"/>
      <c r="AZ26" s="22" t="str">
        <f>IF(AZ24="","",AZ24-AZ25)</f>
        <v/>
      </c>
      <c r="BA26" s="29"/>
      <c r="BB26" s="22" t="str">
        <f>IF(BB24="","",BB24-BB25)</f>
        <v/>
      </c>
      <c r="BC26" s="29"/>
      <c r="BD26" s="22" t="str">
        <f>IF(BD24="","",BD24-BD25)</f>
        <v/>
      </c>
      <c r="BE26" s="29"/>
      <c r="BF26" s="22" t="str">
        <f>IF(BF24="","",BF24-BF25)</f>
        <v/>
      </c>
    </row>
    <row r="27" spans="1:65" customFormat="1" ht="12.95" customHeight="1">
      <c r="C27" s="80" t="s">
        <v>59</v>
      </c>
      <c r="D27" s="80"/>
      <c r="I27" s="22" t="str">
        <f>I22</f>
        <v/>
      </c>
      <c r="K27" s="82"/>
      <c r="L27" s="236">
        <f>L22</f>
        <v>0</v>
      </c>
      <c r="M27" s="32"/>
      <c r="N27" s="236">
        <f>N22</f>
        <v>0</v>
      </c>
      <c r="O27" s="32"/>
      <c r="P27" s="96">
        <f>P22</f>
        <v>0</v>
      </c>
      <c r="Q27" s="29"/>
      <c r="R27" s="22">
        <f>R22</f>
        <v>0</v>
      </c>
      <c r="S27" s="29"/>
      <c r="T27" s="22">
        <f>T22</f>
        <v>0</v>
      </c>
      <c r="U27" s="29"/>
      <c r="V27" s="22">
        <f>V22</f>
        <v>0</v>
      </c>
      <c r="W27" s="29"/>
      <c r="X27" s="22">
        <f>X22</f>
        <v>0</v>
      </c>
      <c r="Y27" s="29"/>
      <c r="Z27" s="22">
        <f>Z22</f>
        <v>0</v>
      </c>
      <c r="AA27" s="29"/>
      <c r="AB27" s="22">
        <f>AB22</f>
        <v>0</v>
      </c>
      <c r="AC27" s="86"/>
      <c r="AD27" s="165">
        <f>AD22</f>
        <v>0</v>
      </c>
      <c r="AE27" s="29"/>
      <c r="AF27" s="22">
        <f>AF22</f>
        <v>0</v>
      </c>
      <c r="AG27" s="29"/>
      <c r="AH27" s="22">
        <f>AH22</f>
        <v>0</v>
      </c>
      <c r="AI27" s="29"/>
      <c r="AJ27" s="22">
        <f>AJ22</f>
        <v>0</v>
      </c>
      <c r="AK27" s="32"/>
      <c r="AL27" s="22">
        <f>AL22</f>
        <v>0</v>
      </c>
      <c r="AM27" s="29"/>
      <c r="AN27" s="22">
        <f>AN22</f>
        <v>0</v>
      </c>
      <c r="AO27" s="29"/>
      <c r="AP27" s="96">
        <f>AP22</f>
        <v>0</v>
      </c>
      <c r="AQ27" s="29"/>
      <c r="AR27" s="96">
        <f>AR22</f>
        <v>0</v>
      </c>
      <c r="AS27" s="29"/>
      <c r="AT27" s="22">
        <f>AT22</f>
        <v>0</v>
      </c>
      <c r="AU27" s="29"/>
      <c r="AV27" s="22">
        <f>AV22</f>
        <v>0</v>
      </c>
      <c r="AW27" s="29"/>
      <c r="AX27" s="22">
        <f>AX22</f>
        <v>0</v>
      </c>
      <c r="AY27" s="29"/>
      <c r="AZ27" s="22">
        <f>AZ22</f>
        <v>0</v>
      </c>
      <c r="BA27" s="29"/>
      <c r="BB27" s="22">
        <f>BB22</f>
        <v>0</v>
      </c>
      <c r="BC27" s="29"/>
      <c r="BD27" s="22">
        <f>BD22</f>
        <v>0</v>
      </c>
      <c r="BE27" s="29"/>
      <c r="BF27" s="22">
        <f>BF22</f>
        <v>0</v>
      </c>
    </row>
    <row r="28" spans="1:65" s="84" customFormat="1" ht="14.1" customHeight="1">
      <c r="A28" s="79"/>
      <c r="B28"/>
      <c r="C28" s="80" t="s">
        <v>162</v>
      </c>
      <c r="D28" s="80"/>
      <c r="E28" s="78"/>
      <c r="F28" s="87"/>
      <c r="G28" s="87"/>
      <c r="H28" s="81"/>
      <c r="I28" s="88" t="str">
        <f>IF(I24="","",I26-I27)</f>
        <v/>
      </c>
      <c r="J28"/>
      <c r="K28" s="82"/>
      <c r="L28" s="237" t="str">
        <f>IF(L24="","",L26-L27)</f>
        <v/>
      </c>
      <c r="M28" s="97"/>
      <c r="N28" s="237" t="str">
        <f>IF(N24="","",N26-N27)</f>
        <v/>
      </c>
      <c r="O28" s="82"/>
      <c r="P28" s="90" t="str">
        <f>IF(P24="","",P26-P27)</f>
        <v/>
      </c>
      <c r="Q28" s="5"/>
      <c r="R28" s="88" t="str">
        <f>IF(R24="","",R26-R27)</f>
        <v/>
      </c>
      <c r="S28" s="5"/>
      <c r="T28" s="88" t="str">
        <f>IF(T24="","",T26-T27)</f>
        <v/>
      </c>
      <c r="U28" s="5"/>
      <c r="V28" s="88" t="str">
        <f>IF(V24="","",V26-V27)</f>
        <v/>
      </c>
      <c r="W28" s="5"/>
      <c r="X28" s="88" t="str">
        <f>IF(X24="","",X26-X27)</f>
        <v/>
      </c>
      <c r="Y28" s="5"/>
      <c r="Z28" s="88" t="str">
        <f>IF(Z24="","",Z26-Z27)</f>
        <v/>
      </c>
      <c r="AA28" s="83"/>
      <c r="AB28" s="88" t="str">
        <f>IF(AB24="","",AB26-AB27)</f>
        <v/>
      </c>
      <c r="AC28" s="98"/>
      <c r="AD28" s="241" t="str">
        <f>IF(AD24="","",AD26-AD27)</f>
        <v/>
      </c>
      <c r="AE28" s="5"/>
      <c r="AF28" s="88" t="str">
        <f>IF(AF24="","",AF26-AF27)</f>
        <v/>
      </c>
      <c r="AG28" s="5"/>
      <c r="AH28" s="88" t="str">
        <f>IF(AH24="","",AH26-AH27)</f>
        <v/>
      </c>
      <c r="AI28" s="5"/>
      <c r="AJ28" s="88" t="str">
        <f>IF(AJ24="","",AJ26-AJ27)</f>
        <v/>
      </c>
      <c r="AK28" s="97"/>
      <c r="AL28" s="88" t="str">
        <f>IF(AL24="","",AL26-AL27)</f>
        <v/>
      </c>
      <c r="AM28" s="5"/>
      <c r="AN28" s="88" t="str">
        <f>IF(AN24="","",AN26-AN27)</f>
        <v/>
      </c>
      <c r="AO28" s="5"/>
      <c r="AP28" s="90" t="str">
        <f>IF(AP24="","",AP26-AP27)</f>
        <v/>
      </c>
      <c r="AQ28" s="5"/>
      <c r="AR28" s="90" t="str">
        <f>IF(AR24="","",AR26-AR27)</f>
        <v/>
      </c>
      <c r="AS28" s="5"/>
      <c r="AT28" s="88" t="str">
        <f>IF(AT24="","",AT26-AT27)</f>
        <v/>
      </c>
      <c r="AU28" s="5"/>
      <c r="AV28" s="88" t="str">
        <f>IF(AV24="","",AV26-AV27)</f>
        <v/>
      </c>
      <c r="AW28" s="5"/>
      <c r="AX28" s="88" t="str">
        <f>IF(AX24="","",AX26-AX27)</f>
        <v/>
      </c>
      <c r="AY28" s="5"/>
      <c r="AZ28" s="88" t="str">
        <f>IF(AZ24="","",AZ26-AZ27)</f>
        <v/>
      </c>
      <c r="BA28" s="5"/>
      <c r="BB28" s="88" t="str">
        <f>IF(BB24="","",BB26-BB27)</f>
        <v/>
      </c>
      <c r="BC28" s="5"/>
      <c r="BD28" s="88" t="str">
        <f>IF(BD24="","",BD26-BD27)</f>
        <v/>
      </c>
      <c r="BE28" s="5"/>
      <c r="BF28" s="88" t="str">
        <f>IF(BF24="","",BF26-BF27)</f>
        <v/>
      </c>
      <c r="BG28" s="8"/>
      <c r="BH28" s="8"/>
      <c r="BI28" s="8"/>
      <c r="BJ28" s="8"/>
      <c r="BK28" s="8"/>
      <c r="BL28" s="8"/>
      <c r="BM28" s="8"/>
    </row>
    <row r="29" spans="1:65" s="84" customFormat="1" ht="14.1" customHeight="1">
      <c r="A29" s="79"/>
      <c r="B29"/>
      <c r="C29" s="99" t="s">
        <v>163</v>
      </c>
      <c r="D29" s="99"/>
      <c r="E29" s="78"/>
      <c r="F29" s="87"/>
      <c r="G29" s="87"/>
      <c r="H29" s="81"/>
      <c r="I29" s="100" t="str">
        <f>IF(I22="","",IF(I24=0,"HWA?",I28/I26*100))</f>
        <v/>
      </c>
      <c r="J29"/>
      <c r="K29" s="99"/>
      <c r="L29" s="100" t="e">
        <f>IF(L22="","",IF(L24=0,"HWA?",L28/L26*100))</f>
        <v>#VALUE!</v>
      </c>
      <c r="M29" s="97"/>
      <c r="N29" s="100" t="e">
        <f>IF(N22="","",IF(N24=0,"HWA?",N28/N26*100))</f>
        <v>#VALUE!</v>
      </c>
      <c r="O29" s="82"/>
      <c r="P29" s="100" t="e">
        <f>IF(P22="","",IF(P24=0,"HWA?",P28/P26*100))</f>
        <v>#VALUE!</v>
      </c>
      <c r="Q29" s="5"/>
      <c r="R29" s="100" t="e">
        <f>IF(R22="","",IF(R24=0,"HWA?",R28/R26*100))</f>
        <v>#VALUE!</v>
      </c>
      <c r="S29" s="5"/>
      <c r="T29" s="100" t="e">
        <f>IF(T22="","",IF(T24=0,"HWA?",T28/T26*100))</f>
        <v>#VALUE!</v>
      </c>
      <c r="U29" s="5"/>
      <c r="V29" s="100" t="e">
        <f>IF(V22="","",IF(V24=0,"HWA?",V28/V26*100))</f>
        <v>#VALUE!</v>
      </c>
      <c r="W29" s="5"/>
      <c r="X29" s="100" t="e">
        <f>IF(X22="","",IF(X24=0,"HWA?",X28/X26*100))</f>
        <v>#VALUE!</v>
      </c>
      <c r="Y29" s="5"/>
      <c r="Z29" s="100" t="e">
        <f>IF(Z22="","",IF(Z24=0,"HWA?",Z28/Z26*100))</f>
        <v>#VALUE!</v>
      </c>
      <c r="AA29" s="83"/>
      <c r="AB29" s="100" t="e">
        <f>IF(AB22="","",IF(AB24=0,"HWA?",AB28/AB26*100))</f>
        <v>#VALUE!</v>
      </c>
      <c r="AC29" s="98"/>
      <c r="AD29" s="100" t="e">
        <f>IF(AD22="","",IF(AD24=0,"HWA?",AD28/AD26*100))</f>
        <v>#VALUE!</v>
      </c>
      <c r="AE29" s="5"/>
      <c r="AF29" s="100" t="e">
        <f>IF(AF22="","",IF(AF24=0,"HWA?",AF28/AF26*100))</f>
        <v>#VALUE!</v>
      </c>
      <c r="AG29" s="5"/>
      <c r="AH29" s="100" t="e">
        <f>IF(AH22="","",IF(AH24=0,"HWA?",AH28/AH26*100))</f>
        <v>#VALUE!</v>
      </c>
      <c r="AI29" s="5"/>
      <c r="AJ29" s="100" t="e">
        <f>IF(AJ22="","",IF(AJ24=0,"HWA?",AJ28/AJ26*100))</f>
        <v>#VALUE!</v>
      </c>
      <c r="AK29" s="97"/>
      <c r="AL29" s="100" t="e">
        <f>IF(AL22="","",IF(AL24=0,"HWA?",AL28/AL26*100))</f>
        <v>#VALUE!</v>
      </c>
      <c r="AM29" s="5"/>
      <c r="AN29" s="100" t="e">
        <f>IF(AN22="","",IF(AN24=0,"HWA?",AN28/AN26*100))</f>
        <v>#VALUE!</v>
      </c>
      <c r="AO29" s="5"/>
      <c r="AP29" s="100" t="e">
        <f>IF(AP22="","",IF(AP24=0,"HWA?",AP28/AP26*100))</f>
        <v>#VALUE!</v>
      </c>
      <c r="AQ29" s="5"/>
      <c r="AR29" s="100" t="e">
        <f>IF(AR22="","",IF(AR24=0,"HWA?",AR28/AR26*100))</f>
        <v>#VALUE!</v>
      </c>
      <c r="AS29" s="5"/>
      <c r="AT29" s="100" t="e">
        <f>IF(AT22="","",IF(AT24=0,"HWA?",AT28/AT26*100))</f>
        <v>#VALUE!</v>
      </c>
      <c r="AU29" s="5"/>
      <c r="AV29" s="100" t="e">
        <f>IF(AV22="","",IF(AV24=0,"HWA?",AV28/AV26*100))</f>
        <v>#VALUE!</v>
      </c>
      <c r="AW29" s="5"/>
      <c r="AX29" s="100" t="e">
        <f>IF(AX22="","",IF(AX24=0,"HWA?",AX28/AX26*100))</f>
        <v>#VALUE!</v>
      </c>
      <c r="AY29" s="5"/>
      <c r="AZ29" s="100" t="e">
        <f>IF(AZ22="","",IF(AZ24=0,"HWA?",AZ28/AZ26*100))</f>
        <v>#VALUE!</v>
      </c>
      <c r="BA29" s="5"/>
      <c r="BB29" s="100" t="e">
        <f>IF(BB22="","",IF(BB24=0,"HWA?",BB28/BB26*100))</f>
        <v>#VALUE!</v>
      </c>
      <c r="BC29" s="5"/>
      <c r="BD29" s="100" t="e">
        <f>IF(BD22="","",IF(BD24=0,"HWA?",BD28/BD26*100))</f>
        <v>#VALUE!</v>
      </c>
      <c r="BE29" s="5"/>
      <c r="BF29" s="100" t="e">
        <f>IF(BF22="","",IF(BF24=0,"HWA?",BF28/BF26*100))</f>
        <v>#VALUE!</v>
      </c>
      <c r="BG29" s="8"/>
      <c r="BH29" s="8"/>
      <c r="BI29" s="8"/>
      <c r="BJ29" s="8"/>
      <c r="BK29" s="8"/>
      <c r="BL29" s="8"/>
      <c r="BM29" s="8"/>
    </row>
    <row r="30" spans="1:65" s="105" customFormat="1" ht="14.1" customHeight="1">
      <c r="A30" s="101"/>
      <c r="B30" s="102"/>
      <c r="C30" s="99" t="s">
        <v>60</v>
      </c>
      <c r="D30" s="99"/>
      <c r="E30" s="103"/>
      <c r="F30" s="103"/>
      <c r="G30" s="103"/>
      <c r="H30" s="104"/>
      <c r="I30" s="100" t="str">
        <f>IF(I22="","",IF(I24=0,"HWA?",I28/I24*100))</f>
        <v/>
      </c>
      <c r="J30" s="99"/>
      <c r="K30" s="99"/>
      <c r="L30" s="100" t="e">
        <f>IF(L22="","",IF(L24=0,"HWA?",L28/L24*100))</f>
        <v>#VALUE!</v>
      </c>
      <c r="M30" s="99"/>
      <c r="N30" s="100" t="e">
        <f>IF(N22="","",IF(N24=0,"HWA?",N28/N24*100))</f>
        <v>#VALUE!</v>
      </c>
      <c r="O30" s="99"/>
      <c r="P30" s="100" t="e">
        <f>IF(P22="","",IF(P24=0,"HWA?",P28/P24*100))</f>
        <v>#VALUE!</v>
      </c>
      <c r="Q30" s="104"/>
      <c r="R30" s="100" t="e">
        <f>IF(R22="","",IF(R24=0,"HWA?",R28/R24*100))</f>
        <v>#VALUE!</v>
      </c>
      <c r="S30" s="104"/>
      <c r="T30" s="100" t="e">
        <f>IF(T22="","",IF(T24=0,"HWA?",T28/T24*100))</f>
        <v>#VALUE!</v>
      </c>
      <c r="U30" s="104"/>
      <c r="V30" s="100" t="e">
        <f>IF(V22="","",IF(V24=0,"HWA?",V28/V24*100))</f>
        <v>#VALUE!</v>
      </c>
      <c r="W30" s="104"/>
      <c r="X30" s="100" t="e">
        <f>IF(X22="","",IF(X24=0,"HWA?",X28/X24*100))</f>
        <v>#VALUE!</v>
      </c>
      <c r="Y30" s="104"/>
      <c r="Z30" s="100" t="e">
        <f>IF(Z22="","",IF(Z24=0,"HWA?",Z28/Z24*100))</f>
        <v>#VALUE!</v>
      </c>
      <c r="AA30" s="99"/>
      <c r="AB30" s="100" t="e">
        <f>IF(AB22="","",IF(AB24=0,"HWA?",AB28/AB24*100))</f>
        <v>#VALUE!</v>
      </c>
      <c r="AC30" s="104"/>
      <c r="AD30" s="100" t="e">
        <f>IF(AD22="","",IF(AD24=0,"HWA?",AD28/AD24*100))</f>
        <v>#VALUE!</v>
      </c>
      <c r="AE30" s="104"/>
      <c r="AF30" s="100" t="e">
        <f>IF(AF22="","",IF(AF24=0,"HWA?",AF28/AF24*100))</f>
        <v>#VALUE!</v>
      </c>
      <c r="AG30" s="104"/>
      <c r="AH30" s="100" t="e">
        <f>IF(AH22="","",IF(AH24=0,"HWA?",AH28/AH24*100))</f>
        <v>#VALUE!</v>
      </c>
      <c r="AI30" s="104"/>
      <c r="AJ30" s="100" t="e">
        <f>IF(AJ22="","",IF(AJ24=0,"HWA?",AJ28/AJ24*100))</f>
        <v>#VALUE!</v>
      </c>
      <c r="AK30" s="104"/>
      <c r="AL30" s="100" t="e">
        <f>IF(AL22="","",IF(AL24=0,"HWA?",AL28/AL24*100))</f>
        <v>#VALUE!</v>
      </c>
      <c r="AM30" s="104"/>
      <c r="AN30" s="100" t="e">
        <f>IF(AN22="","",IF(AN24=0,"HWA?",AN28/AN24*100))</f>
        <v>#VALUE!</v>
      </c>
      <c r="AO30" s="104"/>
      <c r="AP30" s="100" t="e">
        <f>IF(AP22="","",IF(AP24=0,"HWA?",AP28/AP24*100))</f>
        <v>#VALUE!</v>
      </c>
      <c r="AQ30" s="104"/>
      <c r="AR30" s="100" t="e">
        <f>IF(AR22="","",IF(AR24=0,"HWA?",AR28/AR24*100))</f>
        <v>#VALUE!</v>
      </c>
      <c r="AS30" s="104"/>
      <c r="AT30" s="100" t="e">
        <f>IF(AT22="","",IF(AT24=0,"HWA?",AT28/AT24*100))</f>
        <v>#VALUE!</v>
      </c>
      <c r="AU30" s="104"/>
      <c r="AV30" s="100" t="e">
        <f>IF(AV22="","",IF(AV24=0,"HWA?",AV28/AV24*100))</f>
        <v>#VALUE!</v>
      </c>
      <c r="AW30" s="104"/>
      <c r="AX30" s="100" t="e">
        <f>IF(AX22="","",IF(AX24=0,"HWA?",AX28/AX24*100))</f>
        <v>#VALUE!</v>
      </c>
      <c r="AY30" s="104"/>
      <c r="AZ30" s="100" t="e">
        <f>IF(AZ22="","",IF(AZ24=0,"HWA?",AZ28/AZ24*100))</f>
        <v>#VALUE!</v>
      </c>
      <c r="BA30" s="104"/>
      <c r="BB30" s="100" t="e">
        <f>IF(BB22="","",IF(BB24=0,"HWA?",BB28/BB24*100))</f>
        <v>#VALUE!</v>
      </c>
      <c r="BC30" s="104"/>
      <c r="BD30" s="100" t="e">
        <f>IF(BD22="","",IF(BD24=0,"HWA?",BD28/BD24*100))</f>
        <v>#VALUE!</v>
      </c>
      <c r="BE30" s="104"/>
      <c r="BF30" s="100" t="e">
        <f>IF(BF22="","",IF(BF24=0,"HWA?",BF28/BF24*100))</f>
        <v>#VALUE!</v>
      </c>
      <c r="BG30" s="104"/>
      <c r="BH30" s="104"/>
      <c r="BI30" s="104"/>
      <c r="BJ30" s="104"/>
      <c r="BK30" s="104"/>
      <c r="BL30" s="104"/>
      <c r="BM30" s="104"/>
    </row>
    <row r="31" spans="1:65" s="105" customFormat="1" ht="6" customHeight="1">
      <c r="A31" s="101"/>
      <c r="B31" s="102"/>
      <c r="C31" s="99"/>
      <c r="D31" s="99"/>
      <c r="E31" s="103"/>
      <c r="F31" s="103"/>
      <c r="G31" s="103"/>
      <c r="H31" s="104"/>
      <c r="I31" s="100"/>
      <c r="J31" s="99"/>
      <c r="K31" s="99"/>
      <c r="L31" s="100"/>
      <c r="M31" s="99"/>
      <c r="N31" s="100"/>
      <c r="O31" s="99"/>
      <c r="P31" s="100"/>
      <c r="Q31" s="104"/>
      <c r="R31" s="100"/>
      <c r="S31" s="104"/>
      <c r="T31" s="100"/>
      <c r="U31" s="104"/>
      <c r="V31" s="100"/>
      <c r="W31" s="104"/>
      <c r="X31" s="100"/>
      <c r="Y31" s="104"/>
      <c r="Z31" s="100"/>
      <c r="AA31" s="99"/>
      <c r="AB31" s="100"/>
      <c r="AC31" s="104"/>
      <c r="AD31" s="100"/>
      <c r="AE31" s="104"/>
      <c r="AF31" s="100"/>
      <c r="AG31" s="104"/>
      <c r="AH31" s="100"/>
      <c r="AI31" s="104"/>
      <c r="AJ31" s="100"/>
      <c r="AK31" s="104"/>
      <c r="AL31" s="100"/>
      <c r="AM31" s="104"/>
      <c r="AN31" s="100"/>
      <c r="AO31" s="104"/>
      <c r="AP31" s="100"/>
      <c r="AQ31" s="104"/>
      <c r="AR31" s="100"/>
      <c r="AS31" s="104"/>
      <c r="AT31" s="100"/>
      <c r="AU31" s="104"/>
      <c r="AV31" s="100"/>
      <c r="AW31" s="104"/>
      <c r="AX31" s="100"/>
      <c r="AY31" s="104"/>
      <c r="AZ31" s="100"/>
      <c r="BA31" s="104"/>
      <c r="BB31" s="100"/>
      <c r="BC31" s="104"/>
      <c r="BD31" s="100"/>
      <c r="BE31" s="104"/>
      <c r="BF31" s="100"/>
      <c r="BG31" s="104"/>
      <c r="BH31" s="104"/>
      <c r="BI31" s="104"/>
      <c r="BJ31" s="104"/>
      <c r="BK31" s="104"/>
      <c r="BL31" s="104"/>
      <c r="BM31" s="104"/>
    </row>
    <row r="32" spans="1:65" s="92" customFormat="1" ht="14.1" customHeight="1" thickBot="1">
      <c r="A32" s="106"/>
      <c r="B32" s="107"/>
      <c r="C32" s="108" t="s">
        <v>61</v>
      </c>
      <c r="D32" s="108"/>
      <c r="E32" s="109"/>
      <c r="F32" s="109"/>
      <c r="G32" s="109"/>
      <c r="H32" s="110"/>
      <c r="I32" s="114" t="str">
        <f>IF(I24="","",I24*0.05)</f>
        <v/>
      </c>
      <c r="J32" s="108"/>
      <c r="K32" s="108"/>
      <c r="L32" s="112" t="str">
        <f>IF(L24="","",L24*0.05)</f>
        <v/>
      </c>
      <c r="M32" s="113"/>
      <c r="N32" s="112" t="str">
        <f>IF(N24="","",N24*0.05)</f>
        <v/>
      </c>
      <c r="O32" s="113"/>
      <c r="P32" s="111" t="str">
        <f>IF(P24="","",P24*0.05)</f>
        <v/>
      </c>
      <c r="Q32" s="110"/>
      <c r="R32" s="114" t="str">
        <f>IF(R24="","",R24*0.05)</f>
        <v/>
      </c>
      <c r="S32" s="110"/>
      <c r="T32" s="114" t="str">
        <f>IF(T24="","",T24*0.05)</f>
        <v/>
      </c>
      <c r="U32" s="110"/>
      <c r="V32" s="114" t="str">
        <f>IF(V24="","",V24*0.05)</f>
        <v/>
      </c>
      <c r="W32" s="110"/>
      <c r="X32" s="114" t="str">
        <f>IF(X24="","",X24*0.05)</f>
        <v/>
      </c>
      <c r="Y32" s="110"/>
      <c r="Z32" s="114" t="str">
        <f>IF(Z24="","",Z24*0.05)</f>
        <v/>
      </c>
      <c r="AA32" s="108"/>
      <c r="AB32" s="114" t="str">
        <f>IF(AB24="","",AB24*0.05)</f>
        <v/>
      </c>
      <c r="AC32" s="110"/>
      <c r="AD32" s="242" t="str">
        <f>IF(AD24="","",AD24*0.05)</f>
        <v/>
      </c>
      <c r="AE32" s="110"/>
      <c r="AF32" s="114" t="str">
        <f>IF(AF24="","",AF24*0.05)</f>
        <v/>
      </c>
      <c r="AG32" s="110"/>
      <c r="AH32" s="114" t="str">
        <f>IF(AH24="","",AH24*0.05)</f>
        <v/>
      </c>
      <c r="AI32" s="110"/>
      <c r="AJ32" s="114" t="str">
        <f>IF(AJ24="","",AJ24*0.05)</f>
        <v/>
      </c>
      <c r="AK32" s="110"/>
      <c r="AL32" s="114" t="str">
        <f>IF(AL24="","",AL24*0.05)</f>
        <v/>
      </c>
      <c r="AM32" s="110"/>
      <c r="AN32" s="114" t="str">
        <f>IF(AN24="","",AN24*0.05)</f>
        <v/>
      </c>
      <c r="AO32" s="110"/>
      <c r="AP32" s="111" t="str">
        <f>IF(AP24="","",AP24*0.05)</f>
        <v/>
      </c>
      <c r="AQ32" s="110"/>
      <c r="AR32" s="114" t="str">
        <f>IF(AR24="","",AR24*0.05)</f>
        <v/>
      </c>
      <c r="AS32" s="110"/>
      <c r="AT32" s="114" t="str">
        <f>IF(AT24="","",AT24*0.05)</f>
        <v/>
      </c>
      <c r="AU32" s="110"/>
      <c r="AV32" s="114" t="str">
        <f>IF(AV24="","",AV24*0.05)</f>
        <v/>
      </c>
      <c r="AW32" s="110"/>
      <c r="AX32" s="114" t="str">
        <f>IF(AX24="","",AX24*0.05)</f>
        <v/>
      </c>
      <c r="AY32" s="110"/>
      <c r="AZ32" s="114" t="str">
        <f>IF(AZ24="","",AZ24*0.05)</f>
        <v/>
      </c>
      <c r="BA32" s="110"/>
      <c r="BB32" s="114" t="str">
        <f>IF(BB24="","",BB24*0.05)</f>
        <v/>
      </c>
      <c r="BC32" s="110"/>
      <c r="BD32" s="114" t="str">
        <f>IF(BD24="","",BD24*0.05)</f>
        <v/>
      </c>
      <c r="BE32" s="110"/>
      <c r="BF32" s="114" t="str">
        <f>IF(BF24="","",BF24*0.05)</f>
        <v/>
      </c>
      <c r="BG32" s="5"/>
      <c r="BH32" s="5"/>
      <c r="BI32" s="5"/>
      <c r="BJ32" s="5"/>
      <c r="BK32" s="5"/>
    </row>
    <row r="33" spans="2:58" ht="13.5" thickTop="1">
      <c r="B33" s="116"/>
      <c r="C33" s="116"/>
      <c r="D33" s="116"/>
      <c r="E33" s="116"/>
      <c r="F33" s="117"/>
      <c r="G33" s="117"/>
      <c r="H33" s="117"/>
      <c r="I33" s="116"/>
      <c r="J33" s="116"/>
      <c r="K33" s="116"/>
      <c r="L33" s="118"/>
      <c r="M33" s="116"/>
      <c r="N33" s="118"/>
      <c r="O33" s="116"/>
      <c r="P33" s="119"/>
      <c r="Q33" s="116"/>
      <c r="R33" s="119"/>
      <c r="S33" s="120"/>
      <c r="T33" s="116"/>
      <c r="U33" s="120"/>
      <c r="V33" s="119"/>
      <c r="W33" s="120"/>
      <c r="X33" s="119"/>
      <c r="Y33" s="120"/>
      <c r="Z33" s="119"/>
      <c r="AA33" s="120"/>
      <c r="AB33" s="119"/>
      <c r="AC33" s="85"/>
      <c r="AD33" s="119"/>
      <c r="AE33" s="85"/>
      <c r="AF33" s="119"/>
      <c r="AG33" s="85"/>
      <c r="AH33" s="119"/>
      <c r="AI33" s="116"/>
      <c r="AJ33" s="119"/>
      <c r="AK33" s="116"/>
      <c r="AL33" s="119"/>
      <c r="AM33" s="116"/>
      <c r="AN33" s="119"/>
      <c r="AO33" s="116"/>
      <c r="AP33" s="119"/>
      <c r="AQ33" s="116"/>
      <c r="AR33" s="119"/>
      <c r="AS33" s="116"/>
      <c r="AT33" s="119"/>
      <c r="AU33" s="116"/>
      <c r="AV33" s="119"/>
      <c r="AW33" s="116"/>
      <c r="AX33" s="119"/>
      <c r="AY33" s="116"/>
      <c r="AZ33" s="119"/>
      <c r="BA33" s="116"/>
      <c r="BB33" s="119"/>
      <c r="BC33" s="116"/>
      <c r="BD33" s="119"/>
      <c r="BE33" s="116"/>
      <c r="BF33" s="119"/>
    </row>
    <row r="34" spans="2:58">
      <c r="B34" s="116"/>
      <c r="C34" s="116"/>
      <c r="D34" s="116"/>
      <c r="E34" s="116"/>
      <c r="F34" s="117"/>
      <c r="G34" s="117"/>
      <c r="H34" s="117"/>
      <c r="I34" s="116"/>
      <c r="J34" s="116"/>
      <c r="K34" s="116"/>
      <c r="L34" s="118"/>
      <c r="M34" s="116"/>
      <c r="N34" s="118"/>
      <c r="O34" s="116"/>
      <c r="P34" s="119"/>
      <c r="Q34" s="116"/>
      <c r="R34" s="119"/>
      <c r="S34" s="120"/>
      <c r="T34" s="116"/>
      <c r="U34" s="120"/>
      <c r="V34" s="119"/>
      <c r="W34" s="120"/>
      <c r="X34" s="119"/>
      <c r="Y34" s="120"/>
      <c r="Z34" s="119"/>
      <c r="AA34" s="120"/>
      <c r="AB34" s="119"/>
      <c r="AC34" s="85"/>
      <c r="AD34" s="119"/>
      <c r="AE34" s="85"/>
      <c r="AF34" s="119"/>
      <c r="AG34" s="85"/>
      <c r="AH34" s="119"/>
      <c r="AI34" s="116"/>
      <c r="AJ34" s="119"/>
      <c r="AK34" s="116"/>
      <c r="AL34" s="119"/>
      <c r="AM34" s="116"/>
      <c r="AN34" s="119"/>
      <c r="AO34" s="116"/>
      <c r="AP34" s="119"/>
      <c r="AQ34" s="116"/>
      <c r="AR34" s="119"/>
      <c r="AS34" s="116"/>
      <c r="AT34" s="119"/>
      <c r="AU34" s="116"/>
      <c r="AV34" s="119"/>
      <c r="AW34" s="116"/>
      <c r="AX34" s="119"/>
      <c r="AY34" s="116"/>
      <c r="AZ34" s="119"/>
      <c r="BA34" s="116"/>
      <c r="BB34" s="119"/>
      <c r="BC34" s="116"/>
      <c r="BD34" s="119"/>
      <c r="BE34" s="116"/>
      <c r="BF34" s="119"/>
    </row>
    <row r="35" spans="2:58">
      <c r="B35" s="116"/>
      <c r="C35" s="116"/>
      <c r="D35" s="116"/>
      <c r="E35" s="116"/>
      <c r="F35" s="117"/>
      <c r="G35" s="117"/>
      <c r="H35" s="117"/>
      <c r="I35" s="116"/>
      <c r="J35" s="116"/>
      <c r="K35" s="116"/>
      <c r="L35" s="118"/>
      <c r="M35" s="116"/>
      <c r="N35" s="118"/>
      <c r="O35" s="116"/>
      <c r="P35" s="119"/>
      <c r="Q35" s="116"/>
      <c r="R35" s="119"/>
      <c r="S35" s="120"/>
      <c r="T35" s="116"/>
      <c r="U35" s="120"/>
      <c r="V35" s="119"/>
      <c r="W35" s="120"/>
      <c r="X35" s="119"/>
      <c r="Y35" s="120"/>
      <c r="Z35" s="119"/>
      <c r="AA35" s="120"/>
      <c r="AB35" s="119"/>
      <c r="AC35" s="85"/>
      <c r="AD35" s="119"/>
      <c r="AE35" s="85"/>
      <c r="AF35" s="119"/>
      <c r="AG35" s="85"/>
      <c r="AH35" s="119"/>
      <c r="AI35" s="116"/>
      <c r="AJ35" s="119"/>
      <c r="AK35" s="116"/>
      <c r="AL35" s="119"/>
      <c r="AM35" s="116"/>
      <c r="AN35" s="119"/>
      <c r="AO35" s="116"/>
      <c r="AP35" s="119"/>
      <c r="AQ35" s="116"/>
      <c r="AR35" s="119"/>
      <c r="AS35" s="116"/>
      <c r="AT35" s="119"/>
      <c r="AU35" s="116"/>
      <c r="AV35" s="119"/>
      <c r="AW35" s="116"/>
      <c r="AX35" s="119"/>
      <c r="AY35" s="116"/>
      <c r="AZ35" s="119"/>
      <c r="BA35" s="116"/>
      <c r="BB35" s="119"/>
      <c r="BC35" s="116"/>
      <c r="BD35" s="119"/>
      <c r="BE35" s="116"/>
      <c r="BF35" s="119"/>
    </row>
    <row r="36" spans="2:58">
      <c r="B36" s="116"/>
      <c r="C36" s="116"/>
      <c r="D36" s="116"/>
      <c r="E36" s="116"/>
      <c r="F36" s="117"/>
      <c r="G36" s="117"/>
      <c r="H36" s="117"/>
      <c r="I36" s="116"/>
      <c r="J36" s="116"/>
      <c r="K36" s="116"/>
      <c r="L36" s="118"/>
      <c r="M36" s="116"/>
      <c r="N36" s="118"/>
      <c r="O36" s="116"/>
      <c r="P36" s="119"/>
      <c r="Q36" s="116"/>
      <c r="R36" s="119"/>
      <c r="S36" s="120"/>
      <c r="T36" s="116"/>
      <c r="U36" s="120"/>
      <c r="V36" s="119"/>
      <c r="W36" s="120"/>
      <c r="X36" s="119"/>
      <c r="Y36" s="120"/>
      <c r="Z36" s="119"/>
      <c r="AA36" s="120"/>
      <c r="AB36" s="119"/>
      <c r="AC36" s="85"/>
      <c r="AD36" s="119"/>
      <c r="AE36" s="85"/>
      <c r="AF36" s="119"/>
      <c r="AG36" s="85"/>
      <c r="AH36" s="119"/>
      <c r="AI36" s="116"/>
      <c r="AJ36" s="119"/>
      <c r="AK36" s="116"/>
      <c r="AL36" s="119"/>
      <c r="AM36" s="116"/>
      <c r="AN36" s="119"/>
      <c r="AO36" s="116"/>
      <c r="AP36" s="119"/>
      <c r="AQ36" s="116"/>
      <c r="AR36" s="119"/>
      <c r="AS36" s="116"/>
      <c r="AT36" s="119"/>
      <c r="AU36" s="116"/>
      <c r="AV36" s="119"/>
      <c r="AW36" s="116"/>
      <c r="AX36" s="119"/>
      <c r="AY36" s="116"/>
      <c r="AZ36" s="119"/>
      <c r="BA36" s="116"/>
      <c r="BB36" s="119"/>
      <c r="BC36" s="116"/>
      <c r="BD36" s="119"/>
      <c r="BE36" s="116"/>
      <c r="BF36" s="119"/>
    </row>
    <row r="37" spans="2:58">
      <c r="B37" s="116"/>
      <c r="C37" s="116"/>
      <c r="D37" s="116"/>
      <c r="E37" s="116"/>
      <c r="F37" s="117"/>
      <c r="G37" s="117"/>
      <c r="H37" s="117"/>
      <c r="I37" s="116"/>
      <c r="J37" s="116"/>
      <c r="K37" s="116"/>
      <c r="L37" s="118"/>
      <c r="M37" s="116"/>
      <c r="N37" s="118"/>
      <c r="O37" s="116"/>
      <c r="P37" s="119"/>
      <c r="Q37" s="116"/>
      <c r="R37" s="119"/>
      <c r="S37" s="120"/>
      <c r="T37" s="116"/>
      <c r="U37" s="120"/>
      <c r="V37" s="119"/>
      <c r="W37" s="120"/>
      <c r="X37" s="119"/>
      <c r="Y37" s="120"/>
      <c r="Z37" s="119"/>
      <c r="AA37" s="120"/>
      <c r="AB37" s="119"/>
      <c r="AC37" s="85"/>
      <c r="AD37" s="119"/>
      <c r="AE37" s="85"/>
      <c r="AF37" s="119"/>
      <c r="AG37" s="85"/>
      <c r="AH37" s="119"/>
      <c r="AI37" s="116"/>
      <c r="AJ37" s="119"/>
      <c r="AK37" s="116"/>
      <c r="AL37" s="119"/>
      <c r="AM37" s="116"/>
      <c r="AN37" s="119"/>
      <c r="AO37" s="116"/>
      <c r="AP37" s="119"/>
      <c r="AQ37" s="116"/>
      <c r="AR37" s="119"/>
      <c r="AS37" s="116"/>
      <c r="AT37" s="119"/>
      <c r="AU37" s="116"/>
      <c r="AV37" s="119"/>
      <c r="AW37" s="116"/>
      <c r="AX37" s="119"/>
      <c r="AY37" s="116"/>
      <c r="AZ37" s="119"/>
      <c r="BA37" s="116"/>
      <c r="BB37" s="119"/>
      <c r="BC37" s="116"/>
      <c r="BD37" s="119"/>
      <c r="BE37" s="116"/>
      <c r="BF37" s="119"/>
    </row>
    <row r="38" spans="2:58">
      <c r="B38" s="116"/>
      <c r="C38" s="116"/>
      <c r="D38" s="116"/>
      <c r="E38" s="116"/>
      <c r="F38" s="117"/>
      <c r="G38" s="117"/>
      <c r="H38" s="117"/>
      <c r="I38" s="116"/>
      <c r="J38" s="116"/>
      <c r="K38" s="116"/>
      <c r="L38" s="118"/>
      <c r="M38" s="116"/>
      <c r="N38" s="118"/>
      <c r="O38" s="116"/>
      <c r="P38" s="119"/>
      <c r="Q38" s="116"/>
      <c r="R38" s="119"/>
      <c r="S38" s="120"/>
      <c r="T38" s="116"/>
      <c r="U38" s="120"/>
      <c r="V38" s="119"/>
      <c r="W38" s="120"/>
      <c r="X38" s="119"/>
      <c r="Y38" s="120"/>
      <c r="Z38" s="119"/>
      <c r="AA38" s="120"/>
      <c r="AB38" s="119"/>
      <c r="AC38" s="85"/>
      <c r="AD38" s="119"/>
      <c r="AE38" s="85"/>
      <c r="AF38" s="119"/>
      <c r="AG38" s="85"/>
      <c r="AH38" s="119"/>
      <c r="AI38" s="116"/>
      <c r="AJ38" s="119"/>
      <c r="AK38" s="116"/>
      <c r="AL38" s="119"/>
      <c r="AM38" s="116"/>
      <c r="AN38" s="119"/>
      <c r="AO38" s="116"/>
      <c r="AP38" s="119"/>
      <c r="AQ38" s="116"/>
      <c r="AR38" s="119"/>
      <c r="AS38" s="116"/>
      <c r="AT38" s="119"/>
      <c r="AU38" s="116"/>
      <c r="AV38" s="119"/>
      <c r="AW38" s="116"/>
      <c r="AX38" s="119"/>
      <c r="AY38" s="116"/>
      <c r="AZ38" s="119"/>
      <c r="BA38" s="116"/>
      <c r="BB38" s="119"/>
      <c r="BC38" s="116"/>
      <c r="BD38" s="119"/>
      <c r="BE38" s="116"/>
      <c r="BF38" s="119"/>
    </row>
    <row r="39" spans="2:58">
      <c r="B39" s="116"/>
      <c r="C39" s="116"/>
      <c r="D39" s="116"/>
      <c r="E39" s="116"/>
      <c r="F39" s="117"/>
      <c r="G39" s="117"/>
      <c r="H39" s="117"/>
      <c r="I39" s="116"/>
      <c r="J39" s="116"/>
      <c r="K39" s="116"/>
      <c r="L39" s="118"/>
      <c r="M39" s="116"/>
      <c r="N39" s="118"/>
      <c r="O39" s="116"/>
      <c r="P39" s="119"/>
      <c r="Q39" s="116"/>
      <c r="R39" s="119"/>
      <c r="S39" s="120"/>
      <c r="T39" s="116"/>
      <c r="U39" s="120"/>
      <c r="V39" s="119"/>
      <c r="W39" s="120"/>
      <c r="X39" s="119"/>
      <c r="Y39" s="120"/>
      <c r="Z39" s="119"/>
      <c r="AA39" s="120"/>
      <c r="AB39" s="119"/>
      <c r="AC39" s="85"/>
      <c r="AD39" s="119"/>
      <c r="AE39" s="85"/>
      <c r="AF39" s="119"/>
      <c r="AG39" s="85"/>
      <c r="AH39" s="119"/>
      <c r="AI39" s="116"/>
      <c r="AJ39" s="119"/>
      <c r="AK39" s="116"/>
      <c r="AL39" s="119"/>
      <c r="AM39" s="116"/>
      <c r="AN39" s="119"/>
      <c r="AO39" s="116"/>
      <c r="AP39" s="119"/>
      <c r="AQ39" s="116"/>
      <c r="AR39" s="119"/>
      <c r="AS39" s="116"/>
      <c r="AT39" s="119"/>
      <c r="AU39" s="116"/>
      <c r="AV39" s="119"/>
      <c r="AW39" s="116"/>
      <c r="AX39" s="119"/>
      <c r="AY39" s="116"/>
      <c r="AZ39" s="119"/>
      <c r="BA39" s="116"/>
      <c r="BB39" s="119"/>
      <c r="BC39" s="116"/>
      <c r="BD39" s="119"/>
      <c r="BE39" s="116"/>
      <c r="BF39" s="119"/>
    </row>
    <row r="40" spans="2:58">
      <c r="B40" s="116"/>
      <c r="C40" s="116"/>
      <c r="D40" s="116"/>
      <c r="E40" s="116"/>
      <c r="F40" s="117"/>
      <c r="G40" s="117"/>
      <c r="H40" s="117"/>
      <c r="I40" s="116"/>
      <c r="J40" s="116"/>
      <c r="K40" s="116"/>
      <c r="L40" s="118"/>
      <c r="M40" s="116"/>
      <c r="N40" s="118"/>
      <c r="O40" s="116"/>
      <c r="P40" s="119"/>
      <c r="Q40" s="116"/>
      <c r="R40" s="119"/>
      <c r="S40" s="120"/>
      <c r="T40" s="116"/>
      <c r="U40" s="120"/>
      <c r="V40" s="119"/>
      <c r="W40" s="120"/>
      <c r="X40" s="119"/>
      <c r="Y40" s="120"/>
      <c r="Z40" s="119"/>
      <c r="AA40" s="120"/>
      <c r="AB40" s="119"/>
      <c r="AC40" s="85"/>
      <c r="AD40" s="119"/>
      <c r="AE40" s="85"/>
      <c r="AF40" s="119"/>
      <c r="AG40" s="85"/>
      <c r="AH40" s="119"/>
      <c r="AI40" s="116"/>
      <c r="AJ40" s="119"/>
      <c r="AK40" s="116"/>
      <c r="AL40" s="119"/>
      <c r="AM40" s="116"/>
      <c r="AN40" s="119"/>
      <c r="AO40" s="116"/>
      <c r="AP40" s="119"/>
      <c r="AQ40" s="116"/>
      <c r="AR40" s="119"/>
      <c r="AS40" s="116"/>
      <c r="AT40" s="119"/>
      <c r="AU40" s="116"/>
      <c r="AV40" s="119"/>
      <c r="AW40" s="116"/>
      <c r="AX40" s="119"/>
      <c r="AY40" s="116"/>
      <c r="AZ40" s="119"/>
      <c r="BA40" s="116"/>
      <c r="BB40" s="119"/>
      <c r="BC40" s="116"/>
      <c r="BD40" s="119"/>
      <c r="BE40" s="116"/>
      <c r="BF40" s="119"/>
    </row>
    <row r="41" spans="2:58">
      <c r="B41" s="116"/>
      <c r="C41" s="116"/>
      <c r="D41" s="116"/>
      <c r="E41" s="116"/>
      <c r="F41" s="117"/>
      <c r="G41" s="117"/>
      <c r="H41" s="117"/>
      <c r="I41" s="116"/>
      <c r="J41" s="116"/>
      <c r="K41" s="116"/>
      <c r="L41" s="118"/>
      <c r="M41" s="116"/>
      <c r="N41" s="118"/>
      <c r="O41" s="116"/>
      <c r="P41" s="119"/>
      <c r="Q41" s="116"/>
      <c r="R41" s="119"/>
      <c r="S41" s="120"/>
      <c r="T41" s="116"/>
      <c r="U41" s="120"/>
      <c r="V41" s="119"/>
      <c r="W41" s="120"/>
      <c r="X41" s="119"/>
      <c r="Y41" s="120"/>
      <c r="Z41" s="119"/>
      <c r="AA41" s="120"/>
      <c r="AB41" s="119"/>
      <c r="AC41" s="85"/>
      <c r="AD41" s="119"/>
      <c r="AE41" s="85"/>
      <c r="AF41" s="119"/>
      <c r="AG41" s="85"/>
      <c r="AH41" s="119"/>
      <c r="AI41" s="116"/>
      <c r="AJ41" s="119"/>
      <c r="AK41" s="116"/>
      <c r="AL41" s="119"/>
      <c r="AM41" s="116"/>
      <c r="AN41" s="119"/>
      <c r="AO41" s="116"/>
      <c r="AP41" s="119"/>
      <c r="AQ41" s="116"/>
      <c r="AR41" s="119"/>
      <c r="AS41" s="116"/>
      <c r="AT41" s="119"/>
      <c r="AU41" s="116"/>
      <c r="AV41" s="119"/>
      <c r="AW41" s="116"/>
      <c r="AX41" s="119"/>
      <c r="AY41" s="116"/>
      <c r="AZ41" s="119"/>
      <c r="BA41" s="116"/>
      <c r="BB41" s="119"/>
      <c r="BC41" s="116"/>
      <c r="BD41" s="119"/>
      <c r="BE41" s="116"/>
      <c r="BF41" s="119"/>
    </row>
    <row r="42" spans="2:58">
      <c r="B42" s="116"/>
      <c r="C42" s="116"/>
      <c r="D42" s="116"/>
      <c r="E42" s="116"/>
      <c r="F42" s="117"/>
      <c r="G42" s="117"/>
      <c r="H42" s="117"/>
      <c r="I42" s="116"/>
      <c r="J42" s="116"/>
      <c r="K42" s="116"/>
      <c r="L42" s="118"/>
      <c r="M42" s="116"/>
      <c r="N42" s="118"/>
      <c r="O42" s="116"/>
      <c r="P42" s="119"/>
      <c r="Q42" s="116"/>
      <c r="R42" s="119"/>
      <c r="S42" s="120"/>
      <c r="T42" s="116"/>
      <c r="U42" s="120"/>
      <c r="V42" s="119"/>
      <c r="W42" s="120"/>
      <c r="X42" s="119"/>
      <c r="Y42" s="120"/>
      <c r="Z42" s="119"/>
      <c r="AA42" s="120"/>
      <c r="AB42" s="119"/>
      <c r="AC42" s="85"/>
      <c r="AD42" s="119"/>
      <c r="AE42" s="85"/>
      <c r="AF42" s="119"/>
      <c r="AG42" s="85"/>
      <c r="AH42" s="119"/>
      <c r="AI42" s="116"/>
      <c r="AJ42" s="119"/>
      <c r="AK42" s="116"/>
      <c r="AL42" s="119"/>
      <c r="AM42" s="116"/>
      <c r="AN42" s="119"/>
      <c r="AO42" s="116"/>
      <c r="AP42" s="119"/>
      <c r="AQ42" s="116"/>
      <c r="AR42" s="119"/>
      <c r="AS42" s="116"/>
      <c r="AT42" s="119"/>
      <c r="AU42" s="116"/>
      <c r="AV42" s="119"/>
      <c r="AW42" s="116"/>
      <c r="AX42" s="119"/>
      <c r="AY42" s="116"/>
      <c r="AZ42" s="119"/>
      <c r="BA42" s="116"/>
      <c r="BB42" s="119"/>
      <c r="BC42" s="116"/>
      <c r="BD42" s="119"/>
      <c r="BE42" s="116"/>
      <c r="BF42" s="119"/>
    </row>
    <row r="43" spans="2:58">
      <c r="B43" s="116"/>
      <c r="C43" s="116"/>
      <c r="D43" s="116"/>
      <c r="E43" s="116"/>
      <c r="F43" s="117"/>
      <c r="G43" s="117"/>
      <c r="H43" s="117"/>
      <c r="I43" s="116"/>
      <c r="J43" s="116"/>
      <c r="K43" s="116"/>
      <c r="L43" s="118"/>
      <c r="M43" s="116"/>
      <c r="N43" s="118"/>
      <c r="O43" s="116"/>
      <c r="P43" s="119"/>
      <c r="Q43" s="116"/>
      <c r="R43" s="119"/>
      <c r="S43" s="120"/>
      <c r="T43" s="116"/>
      <c r="U43" s="120"/>
      <c r="V43" s="119"/>
      <c r="W43" s="120"/>
      <c r="X43" s="119"/>
      <c r="Y43" s="120"/>
      <c r="Z43" s="119"/>
      <c r="AA43" s="120"/>
      <c r="AB43" s="119"/>
      <c r="AC43" s="85"/>
      <c r="AD43" s="119"/>
      <c r="AE43" s="85"/>
      <c r="AF43" s="119"/>
      <c r="AG43" s="85"/>
      <c r="AH43" s="119"/>
      <c r="AI43" s="116"/>
      <c r="AJ43" s="119"/>
      <c r="AK43" s="116"/>
      <c r="AL43" s="119"/>
      <c r="AM43" s="116"/>
      <c r="AN43" s="119"/>
      <c r="AO43" s="116"/>
      <c r="AP43" s="119"/>
      <c r="AQ43" s="116"/>
      <c r="AR43" s="119"/>
      <c r="AS43" s="116"/>
      <c r="AT43" s="119"/>
      <c r="AU43" s="116"/>
      <c r="AV43" s="119"/>
      <c r="AW43" s="116"/>
      <c r="AX43" s="119"/>
      <c r="AY43" s="116"/>
      <c r="AZ43" s="119"/>
      <c r="BA43" s="116"/>
      <c r="BB43" s="119"/>
      <c r="BC43" s="116"/>
      <c r="BD43" s="119"/>
      <c r="BE43" s="116"/>
      <c r="BF43" s="119"/>
    </row>
    <row r="44" spans="2:58">
      <c r="B44" s="116"/>
      <c r="C44" s="116"/>
      <c r="D44" s="116"/>
      <c r="E44" s="116"/>
      <c r="F44" s="117"/>
      <c r="G44" s="117"/>
      <c r="H44" s="117"/>
      <c r="I44" s="116"/>
      <c r="J44" s="116"/>
      <c r="K44" s="116"/>
      <c r="L44" s="118"/>
      <c r="M44" s="116"/>
      <c r="N44" s="118"/>
      <c r="O44" s="116"/>
      <c r="P44" s="119"/>
      <c r="Q44" s="116"/>
      <c r="R44" s="119"/>
      <c r="S44" s="120"/>
      <c r="T44" s="116"/>
      <c r="U44" s="120"/>
      <c r="V44" s="119"/>
      <c r="W44" s="120"/>
      <c r="X44" s="119"/>
      <c r="Y44" s="120"/>
      <c r="Z44" s="119"/>
      <c r="AA44" s="120"/>
      <c r="AB44" s="119"/>
      <c r="AC44" s="85"/>
      <c r="AD44" s="119"/>
      <c r="AE44" s="85"/>
      <c r="AF44" s="119"/>
      <c r="AG44" s="85"/>
      <c r="AH44" s="119"/>
      <c r="AI44" s="116"/>
      <c r="AJ44" s="119"/>
      <c r="AK44" s="116"/>
      <c r="AL44" s="119"/>
      <c r="AM44" s="116"/>
      <c r="AN44" s="119"/>
      <c r="AO44" s="116"/>
      <c r="AP44" s="119"/>
      <c r="AQ44" s="116"/>
      <c r="AR44" s="119"/>
      <c r="AS44" s="116"/>
      <c r="AT44" s="119"/>
      <c r="AU44" s="116"/>
      <c r="AV44" s="119"/>
      <c r="AW44" s="116"/>
      <c r="AX44" s="119"/>
      <c r="AY44" s="116"/>
      <c r="AZ44" s="119"/>
      <c r="BA44" s="116"/>
      <c r="BB44" s="119"/>
      <c r="BC44" s="116"/>
      <c r="BD44" s="119"/>
      <c r="BE44" s="116"/>
      <c r="BF44" s="119"/>
    </row>
    <row r="45" spans="2:58">
      <c r="B45" s="116"/>
      <c r="C45" s="116"/>
      <c r="D45" s="116"/>
      <c r="E45" s="116"/>
      <c r="F45" s="117"/>
      <c r="G45" s="117"/>
      <c r="H45" s="117"/>
      <c r="I45" s="116"/>
      <c r="J45" s="116"/>
      <c r="K45" s="116"/>
      <c r="L45" s="118"/>
      <c r="M45" s="116"/>
      <c r="N45" s="118"/>
      <c r="O45" s="116"/>
      <c r="P45" s="119"/>
      <c r="Q45" s="116"/>
      <c r="R45" s="119"/>
      <c r="S45" s="120"/>
      <c r="T45" s="116"/>
      <c r="U45" s="120"/>
      <c r="V45" s="119"/>
      <c r="W45" s="120"/>
      <c r="X45" s="119"/>
      <c r="Y45" s="120"/>
      <c r="Z45" s="119"/>
      <c r="AA45" s="120"/>
      <c r="AB45" s="119"/>
      <c r="AC45" s="85"/>
      <c r="AD45" s="119"/>
      <c r="AE45" s="85"/>
      <c r="AF45" s="119"/>
      <c r="AG45" s="85"/>
      <c r="AH45" s="119"/>
      <c r="AI45" s="116"/>
      <c r="AJ45" s="119"/>
      <c r="AK45" s="116"/>
      <c r="AL45" s="119"/>
      <c r="AM45" s="116"/>
      <c r="AN45" s="119"/>
      <c r="AO45" s="116"/>
      <c r="AP45" s="119"/>
      <c r="AQ45" s="116"/>
      <c r="AR45" s="119"/>
      <c r="AS45" s="116"/>
      <c r="AT45" s="119"/>
      <c r="AU45" s="116"/>
      <c r="AV45" s="119"/>
      <c r="AW45" s="116"/>
      <c r="AX45" s="119"/>
      <c r="AY45" s="116"/>
      <c r="AZ45" s="119"/>
      <c r="BA45" s="116"/>
      <c r="BB45" s="119"/>
      <c r="BC45" s="116"/>
      <c r="BD45" s="119"/>
      <c r="BE45" s="116"/>
      <c r="BF45" s="119"/>
    </row>
    <row r="46" spans="2:58">
      <c r="B46" s="116"/>
      <c r="C46" s="116"/>
      <c r="D46" s="116"/>
      <c r="E46" s="116"/>
      <c r="F46" s="117"/>
      <c r="G46" s="117"/>
      <c r="H46" s="117"/>
      <c r="I46" s="116"/>
      <c r="J46" s="116"/>
      <c r="K46" s="116"/>
      <c r="L46" s="118"/>
      <c r="M46" s="116"/>
      <c r="N46" s="118"/>
      <c r="O46" s="116"/>
      <c r="P46" s="119"/>
      <c r="Q46" s="116"/>
      <c r="R46" s="119"/>
      <c r="S46" s="120"/>
      <c r="T46" s="116"/>
      <c r="U46" s="120"/>
      <c r="V46" s="119"/>
      <c r="W46" s="120"/>
      <c r="X46" s="119"/>
      <c r="Y46" s="120"/>
      <c r="Z46" s="119"/>
      <c r="AA46" s="120"/>
      <c r="AB46" s="119"/>
      <c r="AC46" s="85"/>
      <c r="AD46" s="119"/>
      <c r="AE46" s="85"/>
      <c r="AF46" s="119"/>
      <c r="AG46" s="85"/>
      <c r="AH46" s="119"/>
      <c r="AI46" s="116"/>
      <c r="AJ46" s="119"/>
      <c r="AK46" s="116"/>
      <c r="AL46" s="119"/>
      <c r="AM46" s="116"/>
      <c r="AN46" s="119"/>
      <c r="AO46" s="116"/>
      <c r="AP46" s="119"/>
      <c r="AQ46" s="116"/>
      <c r="AR46" s="119"/>
      <c r="AS46" s="116"/>
      <c r="AT46" s="119"/>
      <c r="AU46" s="116"/>
      <c r="AV46" s="119"/>
      <c r="AW46" s="116"/>
      <c r="AX46" s="119"/>
      <c r="AY46" s="116"/>
      <c r="AZ46" s="119"/>
      <c r="BA46" s="116"/>
      <c r="BB46" s="119"/>
      <c r="BC46" s="116"/>
      <c r="BD46" s="119"/>
      <c r="BE46" s="116"/>
      <c r="BF46" s="119"/>
    </row>
  </sheetData>
  <sheetProtection password="CE2E" sheet="1" objects="1" scenarios="1"/>
  <mergeCells count="7">
    <mergeCell ref="BA8:BB8"/>
    <mergeCell ref="BC8:BD8"/>
    <mergeCell ref="BE8:BF8"/>
    <mergeCell ref="AS8:AT8"/>
    <mergeCell ref="AU8:AV8"/>
    <mergeCell ref="AW8:AX8"/>
    <mergeCell ref="AY8:AZ8"/>
  </mergeCells>
  <phoneticPr fontId="11" type="noConversion"/>
  <pageMargins left="0.75" right="0.75" top="1" bottom="1" header="0.5" footer="0.5"/>
  <pageSetup scale="85" orientation="landscape" verticalDpi="0" r:id="rId1"/>
  <headerFooter alignWithMargins="0">
    <oddHeader>&amp;C&amp;"Geneva,Bold"&amp;14Workbook Name : &amp;F, Worksheet Name: &amp;A&amp;RPrinted: &amp;D, &amp;T
Page &amp;P of &amp;N</oddHeader>
    <oddFooter>&amp;LHWA.AT
Revised:November 2005</oddFooter>
  </headerFooter>
  <colBreaks count="4" manualBreakCount="4">
    <brk id="14" max="1048575" man="1"/>
    <brk id="26" max="1048575" man="1"/>
    <brk id="38" max="1048575" man="1"/>
    <brk id="50" max="1048575" man="1"/>
  </colBreaks>
  <drawing r:id="rId2"/>
</worksheet>
</file>

<file path=xl/worksheets/sheet3.xml><?xml version="1.0" encoding="utf-8"?>
<worksheet xmlns="http://schemas.openxmlformats.org/spreadsheetml/2006/main" xmlns:r="http://schemas.openxmlformats.org/officeDocument/2006/relationships">
  <sheetPr>
    <pageSetUpPr fitToPage="1"/>
  </sheetPr>
  <dimension ref="A1:T33"/>
  <sheetViews>
    <sheetView zoomScale="75" workbookViewId="0">
      <selection activeCell="B24" sqref="B24"/>
    </sheetView>
  </sheetViews>
  <sheetFormatPr defaultColWidth="10.28515625" defaultRowHeight="12.75"/>
  <cols>
    <col min="1" max="1" width="12.7109375" bestFit="1" customWidth="1"/>
    <col min="2" max="2" width="16.28515625" bestFit="1" customWidth="1"/>
    <col min="3" max="3" width="16.7109375" customWidth="1"/>
    <col min="4" max="4" width="10.5703125" customWidth="1"/>
    <col min="5" max="5" width="7.28515625" customWidth="1"/>
    <col min="6" max="6" width="4" customWidth="1"/>
    <col min="7" max="7" width="13.28515625" customWidth="1"/>
    <col min="8" max="8" width="19.140625" bestFit="1" customWidth="1"/>
    <col min="9" max="9" width="12.85546875" style="25" customWidth="1"/>
    <col min="10" max="10" width="9.28515625" customWidth="1"/>
    <col min="11" max="11" width="8.140625" customWidth="1"/>
    <col min="12" max="12" width="3.140625" customWidth="1"/>
    <col min="13" max="13" width="14.7109375" customWidth="1"/>
    <col min="14" max="14" width="18.7109375" customWidth="1"/>
    <col min="15" max="15" width="13.7109375" customWidth="1"/>
    <col min="16" max="16" width="10.28515625" customWidth="1"/>
    <col min="17" max="17" width="7.140625" customWidth="1"/>
    <col min="18" max="19" width="10.28515625" customWidth="1"/>
    <col min="20" max="20" width="13.7109375" customWidth="1"/>
  </cols>
  <sheetData>
    <row r="1" spans="1:20" ht="18">
      <c r="A1" s="384" t="s">
        <v>81</v>
      </c>
      <c r="B1" s="384"/>
      <c r="C1" s="384"/>
      <c r="D1" s="384"/>
      <c r="E1" s="384"/>
      <c r="F1" s="384"/>
      <c r="G1" s="384"/>
      <c r="H1" s="384"/>
      <c r="I1" s="384"/>
      <c r="J1" s="384"/>
      <c r="K1" s="384"/>
      <c r="L1" s="384"/>
      <c r="M1" s="384"/>
      <c r="N1" s="384"/>
      <c r="O1" s="169"/>
    </row>
    <row r="2" spans="1:20" ht="18">
      <c r="A2" s="384" t="str">
        <f>IF(HWA!C13="A","Class A - Composted Sludge","")</f>
        <v/>
      </c>
      <c r="B2" s="384"/>
      <c r="C2" s="384"/>
      <c r="D2" s="384"/>
      <c r="E2" s="384"/>
      <c r="F2" s="384"/>
      <c r="G2" s="384"/>
      <c r="H2" s="384"/>
      <c r="I2" s="384"/>
      <c r="J2" s="384"/>
      <c r="K2" s="384"/>
      <c r="L2" s="384"/>
      <c r="M2" s="384"/>
      <c r="N2" s="384"/>
      <c r="O2" s="384"/>
    </row>
    <row r="3" spans="1:20">
      <c r="A3" s="169"/>
      <c r="B3" s="170" t="s">
        <v>82</v>
      </c>
      <c r="C3" s="193">
        <f>+HWA!C2</f>
        <v>0</v>
      </c>
      <c r="D3" s="194"/>
      <c r="E3" s="169"/>
      <c r="F3" s="194"/>
      <c r="G3" s="194"/>
      <c r="H3" s="169"/>
      <c r="I3" s="195"/>
      <c r="J3" s="169"/>
      <c r="K3" s="169"/>
      <c r="L3" s="169"/>
      <c r="M3" s="169"/>
      <c r="N3" s="169"/>
      <c r="O3" s="169"/>
      <c r="P3" s="116"/>
      <c r="Q3" s="116"/>
    </row>
    <row r="4" spans="1:20">
      <c r="A4" s="169"/>
      <c r="B4" s="170" t="s">
        <v>83</v>
      </c>
      <c r="C4" s="196">
        <f>+HWA!C4</f>
        <v>0</v>
      </c>
      <c r="D4" s="194"/>
      <c r="E4" s="169"/>
      <c r="F4" s="194"/>
      <c r="G4" s="194"/>
      <c r="H4" s="169"/>
      <c r="I4" s="195"/>
      <c r="J4" s="169"/>
      <c r="K4" s="197"/>
      <c r="L4" s="198" t="s">
        <v>84</v>
      </c>
      <c r="M4" s="199" t="s">
        <v>85</v>
      </c>
      <c r="N4" s="200"/>
      <c r="O4" s="201"/>
      <c r="P4" s="116"/>
      <c r="Q4" s="116"/>
    </row>
    <row r="5" spans="1:20" ht="16.5" customHeight="1">
      <c r="A5" s="169"/>
      <c r="B5" s="170" t="s">
        <v>86</v>
      </c>
      <c r="C5" s="196">
        <f>+HWA!C5</f>
        <v>0</v>
      </c>
      <c r="D5" s="194"/>
      <c r="E5" s="169"/>
      <c r="F5" s="194"/>
      <c r="G5" s="194"/>
      <c r="H5" s="169"/>
      <c r="I5" s="195"/>
      <c r="J5" s="169"/>
      <c r="K5" s="202"/>
      <c r="L5" s="203"/>
      <c r="M5" s="201"/>
      <c r="N5" s="204"/>
      <c r="O5" s="201"/>
      <c r="P5" s="116"/>
      <c r="Q5" s="116"/>
    </row>
    <row r="6" spans="1:20">
      <c r="A6" s="169"/>
      <c r="B6" s="170" t="s">
        <v>87</v>
      </c>
      <c r="C6" s="205">
        <f>+HWA!C3</f>
        <v>0</v>
      </c>
      <c r="D6" s="169"/>
      <c r="E6" s="169"/>
      <c r="F6" s="169"/>
      <c r="G6" s="169"/>
      <c r="H6" s="169"/>
      <c r="I6" s="195"/>
      <c r="J6" s="169"/>
      <c r="K6" s="202"/>
      <c r="L6" s="203" t="s">
        <v>88</v>
      </c>
      <c r="M6" s="201" t="s">
        <v>89</v>
      </c>
      <c r="N6" s="204"/>
      <c r="O6" s="201"/>
      <c r="P6" s="116"/>
      <c r="Q6" s="116"/>
    </row>
    <row r="7" spans="1:20">
      <c r="A7" s="169"/>
      <c r="B7" s="170" t="s">
        <v>90</v>
      </c>
      <c r="C7" s="206">
        <f>+HWA!C8</f>
        <v>0</v>
      </c>
      <c r="D7" s="169" t="s">
        <v>91</v>
      </c>
      <c r="E7" s="169"/>
      <c r="F7" s="169"/>
      <c r="G7" s="169"/>
      <c r="H7" s="169"/>
      <c r="I7" s="195"/>
      <c r="J7" s="169"/>
      <c r="K7" s="202"/>
      <c r="L7" s="203" t="s">
        <v>92</v>
      </c>
      <c r="M7" s="201" t="s">
        <v>93</v>
      </c>
      <c r="N7" s="204"/>
      <c r="O7" s="201"/>
      <c r="P7" s="116"/>
      <c r="Q7" s="116"/>
    </row>
    <row r="8" spans="1:20">
      <c r="A8" s="169"/>
      <c r="B8" s="170" t="s">
        <v>94</v>
      </c>
      <c r="C8" s="207">
        <f>+HWA!C15</f>
        <v>0</v>
      </c>
      <c r="D8" s="169" t="s">
        <v>91</v>
      </c>
      <c r="E8" s="169"/>
      <c r="F8" s="169"/>
      <c r="G8" s="169"/>
      <c r="H8" s="169"/>
      <c r="I8" s="195"/>
      <c r="J8" s="169"/>
      <c r="K8" s="202"/>
      <c r="L8" s="203" t="s">
        <v>95</v>
      </c>
      <c r="M8" s="201" t="s">
        <v>96</v>
      </c>
      <c r="N8" s="204"/>
      <c r="O8" s="201"/>
      <c r="P8" s="116"/>
      <c r="Q8" s="116"/>
    </row>
    <row r="9" spans="1:20">
      <c r="A9" s="169"/>
      <c r="B9" s="170" t="s">
        <v>97</v>
      </c>
      <c r="C9" s="206">
        <f>+HWA!C16</f>
        <v>0</v>
      </c>
      <c r="D9" s="169" t="s">
        <v>98</v>
      </c>
      <c r="E9" s="169"/>
      <c r="F9" s="169"/>
      <c r="G9" s="169"/>
      <c r="H9" s="169"/>
      <c r="I9" s="195"/>
      <c r="J9" s="169"/>
      <c r="K9" s="202"/>
      <c r="L9" s="201"/>
      <c r="M9" s="201" t="s">
        <v>99</v>
      </c>
      <c r="N9" s="204"/>
      <c r="O9" s="201"/>
      <c r="P9" s="116"/>
      <c r="Q9" s="116"/>
    </row>
    <row r="10" spans="1:20">
      <c r="A10" s="169"/>
      <c r="B10" s="170" t="s">
        <v>100</v>
      </c>
      <c r="C10" s="207">
        <f>+HWA!C17</f>
        <v>0</v>
      </c>
      <c r="D10" s="169" t="s">
        <v>101</v>
      </c>
      <c r="E10" s="169"/>
      <c r="F10" s="169"/>
      <c r="G10" s="169"/>
      <c r="H10" s="169"/>
      <c r="I10" s="195"/>
      <c r="J10" s="169"/>
      <c r="K10" s="208"/>
      <c r="L10" s="209" t="s">
        <v>102</v>
      </c>
      <c r="M10" s="210" t="s">
        <v>103</v>
      </c>
      <c r="N10" s="204"/>
      <c r="O10" s="201"/>
      <c r="P10" s="116"/>
      <c r="Q10" s="116"/>
    </row>
    <row r="11" spans="1:20">
      <c r="A11" s="169"/>
      <c r="B11" s="170"/>
      <c r="C11" s="169"/>
      <c r="D11" s="169"/>
      <c r="E11" s="169"/>
      <c r="F11" s="169"/>
      <c r="G11" s="169"/>
      <c r="H11" s="169"/>
      <c r="I11" s="195"/>
      <c r="J11" s="169"/>
      <c r="K11" s="169"/>
      <c r="L11" s="169"/>
      <c r="M11" s="169"/>
      <c r="N11" s="211"/>
      <c r="O11" s="201"/>
      <c r="P11" s="116"/>
      <c r="Q11" s="124"/>
    </row>
    <row r="12" spans="1:20">
      <c r="A12" s="169"/>
      <c r="B12" s="170"/>
      <c r="C12" s="169"/>
      <c r="D12" s="169"/>
      <c r="E12" s="169"/>
      <c r="F12" s="169"/>
      <c r="G12" s="169"/>
      <c r="H12" s="169"/>
      <c r="I12" s="195"/>
      <c r="J12" s="169"/>
      <c r="K12" s="169"/>
      <c r="L12" s="169"/>
      <c r="M12" s="169"/>
      <c r="N12" s="211"/>
      <c r="O12" s="169"/>
      <c r="P12" s="116"/>
      <c r="Q12" s="116"/>
      <c r="T12" s="116"/>
    </row>
    <row r="13" spans="1:20">
      <c r="A13" s="169"/>
      <c r="B13" s="170"/>
      <c r="C13" s="169"/>
      <c r="D13" s="169"/>
      <c r="E13" s="169"/>
      <c r="F13" s="169"/>
      <c r="G13" s="169"/>
      <c r="H13" s="169"/>
      <c r="I13" s="195"/>
      <c r="J13" s="169"/>
      <c r="K13" s="169"/>
      <c r="L13" s="169"/>
      <c r="M13" s="169"/>
      <c r="N13" s="211"/>
      <c r="O13" s="169"/>
      <c r="T13" s="116"/>
    </row>
    <row r="14" spans="1:20">
      <c r="A14" s="169"/>
      <c r="B14" s="169"/>
      <c r="C14" s="169"/>
      <c r="D14" s="169"/>
      <c r="E14" s="169"/>
      <c r="F14" s="169"/>
      <c r="G14" s="169"/>
      <c r="H14" s="169"/>
      <c r="I14" s="195"/>
      <c r="J14" s="169"/>
      <c r="K14" s="169"/>
      <c r="L14" s="169"/>
      <c r="M14" s="169"/>
      <c r="N14" s="211"/>
      <c r="O14" s="169"/>
      <c r="T14" s="116"/>
    </row>
    <row r="15" spans="1:20" s="25" customFormat="1" ht="90.75">
      <c r="A15" s="195" t="s">
        <v>104</v>
      </c>
      <c r="B15" s="212" t="s">
        <v>105</v>
      </c>
      <c r="C15" s="212" t="s">
        <v>164</v>
      </c>
      <c r="D15" s="212" t="s">
        <v>106</v>
      </c>
      <c r="E15" s="212" t="s">
        <v>107</v>
      </c>
      <c r="F15" s="195"/>
      <c r="G15" s="212" t="str">
        <f>IF(HWA!C$13="A","Class A Monthly Average Concentrations Limits","Sludge Ceiling  Concentrations Limits")</f>
        <v>Sludge Ceiling  Concentrations Limits</v>
      </c>
      <c r="H15" s="212" t="s">
        <v>108</v>
      </c>
      <c r="I15" s="212" t="s">
        <v>182</v>
      </c>
      <c r="J15" s="212" t="s">
        <v>183</v>
      </c>
      <c r="K15" s="212" t="s">
        <v>109</v>
      </c>
      <c r="M15" s="361" t="s">
        <v>110</v>
      </c>
      <c r="N15" s="213" t="s">
        <v>111</v>
      </c>
      <c r="O15" s="195"/>
    </row>
    <row r="16" spans="1:20" s="25" customFormat="1" ht="13.5" thickBot="1">
      <c r="A16" s="195"/>
      <c r="B16" s="214" t="s">
        <v>112</v>
      </c>
      <c r="C16" s="214" t="s">
        <v>112</v>
      </c>
      <c r="D16" s="214"/>
      <c r="E16" s="214"/>
      <c r="F16" s="195"/>
      <c r="G16" s="214" t="s">
        <v>113</v>
      </c>
      <c r="H16" s="214" t="s">
        <v>113</v>
      </c>
      <c r="I16" s="214" t="s">
        <v>114</v>
      </c>
      <c r="J16" s="214" t="s">
        <v>115</v>
      </c>
      <c r="K16" s="214" t="s">
        <v>115</v>
      </c>
      <c r="M16" s="214" t="s">
        <v>54</v>
      </c>
      <c r="N16" s="214" t="s">
        <v>55</v>
      </c>
      <c r="O16" s="195"/>
    </row>
    <row r="17" spans="1:15" ht="17.25" thickTop="1" thickBot="1">
      <c r="A17" s="171" t="s">
        <v>16</v>
      </c>
      <c r="B17" s="215">
        <v>36</v>
      </c>
      <c r="C17" s="227"/>
      <c r="D17" s="216" t="str">
        <f t="shared" ref="D17:D22" si="0">IF(C17="","",C17/B17)</f>
        <v/>
      </c>
      <c r="E17" s="217" t="str">
        <f t="shared" ref="E17:E26" si="1">IF(D17="","",IF(D17&lt;0.8,"","&gt; 80 %"))</f>
        <v/>
      </c>
      <c r="F17" s="169"/>
      <c r="G17" s="212">
        <f>IF(HWA!C$13="A",41,75)</f>
        <v>75</v>
      </c>
      <c r="H17" s="228"/>
      <c r="I17" s="218" t="str">
        <f t="shared" ref="I17:I26" si="2">IF(H17="","",H17/G17)</f>
        <v/>
      </c>
      <c r="J17" s="217" t="str">
        <f t="shared" ref="J17:J26" si="3">IF(I17="","",IF(I17&lt;0.8,"","&gt; 80 %"))</f>
        <v/>
      </c>
      <c r="K17" s="217" t="str">
        <f>IF(I17="","",IF(I17&lt;1,"","&gt; 100 %"))</f>
        <v/>
      </c>
      <c r="M17" s="229"/>
      <c r="N17" s="369" t="e">
        <f>(Q_potw*M17*8.34/I17)</f>
        <v>#VALUE!</v>
      </c>
      <c r="O17" s="169"/>
    </row>
    <row r="18" spans="1:15" ht="17.25" thickTop="1" thickBot="1">
      <c r="A18" s="171" t="s">
        <v>17</v>
      </c>
      <c r="B18" s="215">
        <v>34</v>
      </c>
      <c r="C18" s="227"/>
      <c r="D18" s="216" t="str">
        <f t="shared" si="0"/>
        <v/>
      </c>
      <c r="E18" s="217" t="str">
        <f t="shared" si="1"/>
        <v/>
      </c>
      <c r="F18" s="169"/>
      <c r="G18" s="318">
        <f>IF(HWA!C$13="A",39,85)</f>
        <v>85</v>
      </c>
      <c r="H18" s="228"/>
      <c r="I18" s="218" t="str">
        <f t="shared" si="2"/>
        <v/>
      </c>
      <c r="J18" s="217" t="str">
        <f t="shared" si="3"/>
        <v/>
      </c>
      <c r="K18" s="217" t="str">
        <f>IF(I18="","",IF(I18&lt;1,"","&gt; 100 %"))</f>
        <v/>
      </c>
      <c r="M18" s="228"/>
      <c r="N18" s="369" t="e">
        <f>(Q_potw*M18*8.34/I18)</f>
        <v>#VALUE!</v>
      </c>
      <c r="O18" s="169"/>
    </row>
    <row r="19" spans="1:15" ht="14.25" thickTop="1" thickBot="1">
      <c r="A19" s="172" t="s">
        <v>18</v>
      </c>
      <c r="B19" s="219"/>
      <c r="C19" s="219"/>
      <c r="D19" s="220"/>
      <c r="E19" s="220"/>
      <c r="F19" s="169"/>
      <c r="G19" s="221"/>
      <c r="H19" s="220"/>
      <c r="I19" s="221"/>
      <c r="J19" s="220"/>
      <c r="K19" s="220"/>
      <c r="M19" s="220"/>
      <c r="N19" s="370"/>
      <c r="O19" s="169"/>
    </row>
    <row r="20" spans="1:15" ht="17.25" thickTop="1" thickBot="1">
      <c r="A20" s="171" t="s">
        <v>19</v>
      </c>
      <c r="B20" s="215">
        <v>1338</v>
      </c>
      <c r="C20" s="227"/>
      <c r="D20" s="216" t="str">
        <f t="shared" si="0"/>
        <v/>
      </c>
      <c r="E20" s="217" t="str">
        <f t="shared" si="1"/>
        <v/>
      </c>
      <c r="F20" s="169"/>
      <c r="G20" s="212">
        <f>IF(HWA!C$13="A",1500,4300)</f>
        <v>4300</v>
      </c>
      <c r="H20" s="228"/>
      <c r="I20" s="218" t="str">
        <f t="shared" si="2"/>
        <v/>
      </c>
      <c r="J20" s="217" t="str">
        <f t="shared" si="3"/>
        <v/>
      </c>
      <c r="K20" s="217" t="str">
        <f t="shared" ref="K20:K26" si="4">IF(I20="","",IF(I20&lt;1,"","&gt; 100 %"))</f>
        <v/>
      </c>
      <c r="M20" s="228"/>
      <c r="N20" s="369" t="e">
        <f t="shared" ref="N20:N26" si="5">(Q_potw*M20*8.34/I20)</f>
        <v>#VALUE!</v>
      </c>
      <c r="O20" s="169"/>
    </row>
    <row r="21" spans="1:15" ht="17.25" thickTop="1" thickBot="1">
      <c r="A21" s="171" t="s">
        <v>21</v>
      </c>
      <c r="B21" s="215">
        <v>267</v>
      </c>
      <c r="C21" s="227"/>
      <c r="D21" s="216" t="str">
        <f t="shared" si="0"/>
        <v/>
      </c>
      <c r="E21" s="217" t="str">
        <f t="shared" si="1"/>
        <v/>
      </c>
      <c r="F21" s="169"/>
      <c r="G21" s="212">
        <f>IF(HWA!C$13="A",300,840)</f>
        <v>840</v>
      </c>
      <c r="H21" s="228"/>
      <c r="I21" s="218" t="str">
        <f t="shared" si="2"/>
        <v/>
      </c>
      <c r="J21" s="217" t="str">
        <f t="shared" si="3"/>
        <v/>
      </c>
      <c r="K21" s="217" t="str">
        <f t="shared" si="4"/>
        <v/>
      </c>
      <c r="M21" s="228"/>
      <c r="N21" s="369" t="e">
        <f t="shared" si="5"/>
        <v>#VALUE!</v>
      </c>
      <c r="O21" s="169"/>
    </row>
    <row r="22" spans="1:15" ht="17.25" thickTop="1" thickBot="1">
      <c r="A22" s="171" t="s">
        <v>22</v>
      </c>
      <c r="B22" s="215">
        <v>15</v>
      </c>
      <c r="C22" s="227"/>
      <c r="D22" s="216" t="str">
        <f t="shared" si="0"/>
        <v/>
      </c>
      <c r="E22" s="217" t="str">
        <f t="shared" si="1"/>
        <v/>
      </c>
      <c r="F22" s="169"/>
      <c r="G22" s="212">
        <f>IF(HWA!C$13="A",17,57)</f>
        <v>57</v>
      </c>
      <c r="H22" s="228"/>
      <c r="I22" s="218" t="str">
        <f t="shared" si="2"/>
        <v/>
      </c>
      <c r="J22" s="217" t="str">
        <f t="shared" si="3"/>
        <v/>
      </c>
      <c r="K22" s="217" t="str">
        <f t="shared" si="4"/>
        <v/>
      </c>
      <c r="M22" s="229"/>
      <c r="N22" s="369" t="e">
        <f t="shared" si="5"/>
        <v>#VALUE!</v>
      </c>
      <c r="O22" s="169"/>
    </row>
    <row r="23" spans="1:15" ht="17.25" thickTop="1" thickBot="1">
      <c r="A23" s="171" t="s">
        <v>23</v>
      </c>
      <c r="B23" s="219"/>
      <c r="C23" s="219"/>
      <c r="D23" s="220"/>
      <c r="E23" s="217" t="str">
        <f t="shared" si="1"/>
        <v/>
      </c>
      <c r="F23" s="169"/>
      <c r="G23" s="222">
        <v>75</v>
      </c>
      <c r="H23" s="228"/>
      <c r="I23" s="218" t="str">
        <f t="shared" si="2"/>
        <v/>
      </c>
      <c r="J23" s="217" t="str">
        <f t="shared" si="3"/>
        <v/>
      </c>
      <c r="K23" s="217" t="str">
        <f t="shared" si="4"/>
        <v/>
      </c>
      <c r="M23" s="228"/>
      <c r="N23" s="369" t="e">
        <f t="shared" si="5"/>
        <v>#VALUE!</v>
      </c>
      <c r="O23" s="169"/>
    </row>
    <row r="24" spans="1:15" ht="17.25" thickTop="1" thickBot="1">
      <c r="A24" s="171" t="s">
        <v>24</v>
      </c>
      <c r="B24" s="215">
        <v>374</v>
      </c>
      <c r="C24" s="227"/>
      <c r="D24" s="216" t="str">
        <f>IF(C24="","",C24/B24)</f>
        <v/>
      </c>
      <c r="E24" s="217" t="str">
        <f t="shared" si="1"/>
        <v/>
      </c>
      <c r="F24" s="169"/>
      <c r="G24" s="212">
        <v>420</v>
      </c>
      <c r="H24" s="228"/>
      <c r="I24" s="218" t="str">
        <f t="shared" si="2"/>
        <v/>
      </c>
      <c r="J24" s="217" t="str">
        <f t="shared" si="3"/>
        <v/>
      </c>
      <c r="K24" s="217" t="str">
        <f t="shared" si="4"/>
        <v/>
      </c>
      <c r="M24" s="228"/>
      <c r="N24" s="369" t="e">
        <f t="shared" si="5"/>
        <v>#VALUE!</v>
      </c>
      <c r="O24" s="169"/>
    </row>
    <row r="25" spans="1:15" ht="17.25" thickTop="1" thickBot="1">
      <c r="A25" s="171" t="s">
        <v>25</v>
      </c>
      <c r="B25" s="215">
        <v>89</v>
      </c>
      <c r="C25" s="227"/>
      <c r="D25" s="216" t="str">
        <f>IF(C25="","",C25/B25)</f>
        <v/>
      </c>
      <c r="E25" s="217" t="str">
        <f t="shared" si="1"/>
        <v/>
      </c>
      <c r="F25" s="169"/>
      <c r="G25" s="212">
        <v>100</v>
      </c>
      <c r="H25" s="228"/>
      <c r="I25" s="218" t="str">
        <f t="shared" si="2"/>
        <v/>
      </c>
      <c r="J25" s="217" t="str">
        <f t="shared" si="3"/>
        <v/>
      </c>
      <c r="K25" s="217" t="str">
        <f t="shared" si="4"/>
        <v/>
      </c>
      <c r="M25" s="228"/>
      <c r="N25" s="369" t="e">
        <f t="shared" si="5"/>
        <v>#VALUE!</v>
      </c>
      <c r="O25" s="169"/>
    </row>
    <row r="26" spans="1:15" ht="17.25" thickTop="1" thickBot="1">
      <c r="A26" s="171" t="s">
        <v>27</v>
      </c>
      <c r="B26" s="215">
        <v>2498</v>
      </c>
      <c r="C26" s="227"/>
      <c r="D26" s="216" t="str">
        <f>IF(C26="","",C26/B26)</f>
        <v/>
      </c>
      <c r="E26" s="217" t="str">
        <f t="shared" si="1"/>
        <v/>
      </c>
      <c r="F26" s="169"/>
      <c r="G26" s="318">
        <f>IF(HWA!C$13="A",2800,7500)</f>
        <v>7500</v>
      </c>
      <c r="H26" s="228"/>
      <c r="I26" s="218" t="str">
        <f t="shared" si="2"/>
        <v/>
      </c>
      <c r="J26" s="217" t="str">
        <f t="shared" si="3"/>
        <v/>
      </c>
      <c r="K26" s="217" t="str">
        <f t="shared" si="4"/>
        <v/>
      </c>
      <c r="M26" s="228"/>
      <c r="N26" s="369" t="e">
        <f t="shared" si="5"/>
        <v>#VALUE!</v>
      </c>
      <c r="O26" s="169"/>
    </row>
    <row r="27" spans="1:15" s="173" customFormat="1" ht="15" customHeight="1" thickTop="1">
      <c r="A27" s="223"/>
      <c r="B27" s="223"/>
      <c r="C27" s="223"/>
      <c r="D27" s="223"/>
      <c r="E27" s="169"/>
      <c r="F27" s="223"/>
      <c r="G27" s="223"/>
      <c r="H27" s="223"/>
      <c r="I27" s="224"/>
      <c r="J27" s="169"/>
      <c r="K27" s="223"/>
      <c r="L27" s="223"/>
      <c r="M27" s="223"/>
      <c r="N27" s="225"/>
      <c r="O27" s="223"/>
    </row>
    <row r="28" spans="1:15" ht="40.5" customHeight="1">
      <c r="A28" s="169"/>
      <c r="B28" s="385" t="s">
        <v>116</v>
      </c>
      <c r="C28" s="386"/>
      <c r="D28" s="387"/>
      <c r="E28" s="226" t="str">
        <f>IF(MAX(D17:D26)&lt;0.8,"n/a","Required")</f>
        <v>n/a</v>
      </c>
      <c r="F28" s="169"/>
      <c r="G28" s="385" t="s">
        <v>181</v>
      </c>
      <c r="H28" s="385"/>
      <c r="I28" s="387"/>
      <c r="J28" s="226" t="str">
        <f>IF(MAX(I17:I26)&lt;0.8,"n/a","Required")</f>
        <v>n/a</v>
      </c>
      <c r="K28" s="169"/>
      <c r="L28" s="385" t="s">
        <v>117</v>
      </c>
      <c r="M28" s="388"/>
      <c r="N28" s="226" t="str">
        <f>IF(MAX(K17:K26)&lt;1,"n/a","Required")</f>
        <v>n/a</v>
      </c>
      <c r="O28" s="169"/>
    </row>
    <row r="30" spans="1:15" ht="16.5">
      <c r="A30" s="371" t="s">
        <v>184</v>
      </c>
    </row>
    <row r="31" spans="1:15">
      <c r="D31" s="168"/>
    </row>
    <row r="32" spans="1:15">
      <c r="D32" s="168"/>
    </row>
    <row r="33" spans="4:5">
      <c r="D33" s="124"/>
      <c r="E33" s="116"/>
    </row>
  </sheetData>
  <sheetProtection password="CE2E" sheet="1" objects="1" scenarios="1"/>
  <mergeCells count="5">
    <mergeCell ref="A1:N1"/>
    <mergeCell ref="B28:D28"/>
    <mergeCell ref="G28:I28"/>
    <mergeCell ref="L28:M28"/>
    <mergeCell ref="A2:O2"/>
  </mergeCells>
  <phoneticPr fontId="11" type="noConversion"/>
  <pageMargins left="0.75" right="0.75" top="1" bottom="1" header="0.5" footer="0.5"/>
  <pageSetup scale="68" orientation="landscape" horizontalDpi="0" verticalDpi="0" r:id="rId1"/>
  <headerFooter alignWithMargins="0">
    <oddHeader>&amp;C&amp;14Name: &amp;F;  Worksheet Name: &amp;A&amp;RPage &amp;P of &amp;N
 Printed &amp;D, &amp;T</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HWA</vt:lpstr>
      <vt:lpstr>AT</vt:lpstr>
      <vt:lpstr>HASL</vt:lpstr>
      <vt:lpstr>HWA!Print_Area</vt:lpstr>
      <vt:lpstr>AT!Print_Titles</vt:lpstr>
      <vt:lpstr>Q_potw</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 Morrison</dc:creator>
  <cp:lastModifiedBy>Windows User</cp:lastModifiedBy>
  <cp:lastPrinted>2006-01-12T20:17:57Z</cp:lastPrinted>
  <dcterms:created xsi:type="dcterms:W3CDTF">1998-01-06T15:43:52Z</dcterms:created>
  <dcterms:modified xsi:type="dcterms:W3CDTF">2013-08-15T20:34:02Z</dcterms:modified>
</cp:coreProperties>
</file>